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930" windowWidth="17220" windowHeight="9465" activeTab="4"/>
  </bookViews>
  <sheets>
    <sheet name="Data" sheetId="1" r:id="rId1"/>
    <sheet name="Mode frequencies" sheetId="2" r:id="rId2"/>
    <sheet name="Mode spacing" sheetId="3" r:id="rId3"/>
    <sheet name="WATSON" sheetId="4" r:id="rId4"/>
    <sheet name="Listening Distance" sheetId="5" r:id="rId5"/>
  </sheets>
  <definedNames/>
  <calcPr fullCalcOnLoad="1"/>
</workbook>
</file>

<file path=xl/sharedStrings.xml><?xml version="1.0" encoding="utf-8"?>
<sst xmlns="http://schemas.openxmlformats.org/spreadsheetml/2006/main" count="420" uniqueCount="113">
  <si>
    <t>Example room</t>
  </si>
  <si>
    <t>L =</t>
  </si>
  <si>
    <t>ft</t>
  </si>
  <si>
    <t>m</t>
  </si>
  <si>
    <t>Acceptable room if:</t>
  </si>
  <si>
    <t>Room dimensions in feet</t>
  </si>
  <si>
    <t>W =</t>
  </si>
  <si>
    <t>1.1*(W/H) &lt; (L/H) &lt; 4.5*(W/H)-4</t>
  </si>
  <si>
    <t>H =</t>
  </si>
  <si>
    <t>(R. Walker, BBC, 1996)</t>
  </si>
  <si>
    <t>Floor area A =</t>
  </si>
  <si>
    <t>ft^2</t>
  </si>
  <si>
    <t>m^2</t>
  </si>
  <si>
    <t>Volume V =</t>
  </si>
  <si>
    <t>ft^3</t>
  </si>
  <si>
    <t>m^3</t>
  </si>
  <si>
    <t>Surface area S =</t>
  </si>
  <si>
    <t>Edge length Le =</t>
  </si>
  <si>
    <t>Below frequency fm =</t>
  </si>
  <si>
    <t>Hz</t>
  </si>
  <si>
    <t>Total number of modes N =</t>
  </si>
  <si>
    <t>Avg. mode spacing df =</t>
  </si>
  <si>
    <t>Hz at fm</t>
  </si>
  <si>
    <t>Estimated reverberation time T60 =</t>
  </si>
  <si>
    <t>ms</t>
  </si>
  <si>
    <t>Resonance bandwidth bw =</t>
  </si>
  <si>
    <t>Rise time Trise =</t>
  </si>
  <si>
    <t>Schroeder frequency fs =</t>
  </si>
  <si>
    <t>Monopole reverb distance Rm =</t>
  </si>
  <si>
    <t>Dipole reverb distance Rd =</t>
  </si>
  <si>
    <t>Avg wall absorption a =</t>
  </si>
  <si>
    <t>Estimated avg wall absorption a =</t>
  </si>
  <si>
    <t xml:space="preserve"> </t>
  </si>
  <si>
    <t xml:space="preserve">Speed of sound c = </t>
  </si>
  <si>
    <t>m/s</t>
  </si>
  <si>
    <t>Reverberation time T60 =</t>
  </si>
  <si>
    <t>ft/s</t>
  </si>
  <si>
    <t>Modes in rectangular room</t>
  </si>
  <si>
    <t>Sorted by frequency</t>
  </si>
  <si>
    <t>Mode spacing</t>
  </si>
  <si>
    <t>l</t>
  </si>
  <si>
    <t>w</t>
  </si>
  <si>
    <t>h</t>
  </si>
  <si>
    <t>Replace bold faced values with your own numbers</t>
  </si>
  <si>
    <t>after room dimensions have been changed</t>
  </si>
  <si>
    <t xml:space="preserve">Re-sort table below by ascending frequency </t>
  </si>
  <si>
    <t>© LINKWITZ LAB   21 October 2000</t>
  </si>
  <si>
    <t>Volume</t>
  </si>
  <si>
    <t>Rm</t>
  </si>
  <si>
    <t>T60/ms</t>
  </si>
  <si>
    <t>Distance from WATSON =</t>
  </si>
  <si>
    <t>Reverb Distance for WATSON =</t>
  </si>
  <si>
    <t>Reverb Distance for ORION =</t>
  </si>
  <si>
    <t xml:space="preserve">ORION direct signal </t>
  </si>
  <si>
    <t xml:space="preserve">WATSON direct signal  </t>
  </si>
  <si>
    <t>dB above ORION direct</t>
  </si>
  <si>
    <t xml:space="preserve">WATSON direct level is </t>
  </si>
  <si>
    <t>dB below its reverberated level</t>
  </si>
  <si>
    <t>dB above its reverberated level</t>
  </si>
  <si>
    <t>dB total</t>
  </si>
  <si>
    <t>inch</t>
  </si>
  <si>
    <t>Measured ORION to WATSON level ratio =</t>
  </si>
  <si>
    <t>dB at listener position</t>
  </si>
  <si>
    <t>Calculated:</t>
  </si>
  <si>
    <t>Listening distance from ORION =</t>
  </si>
  <si>
    <t>Avg. wall absorption a%</t>
  </si>
  <si>
    <t>feet</t>
  </si>
  <si>
    <t>equals</t>
  </si>
  <si>
    <t>enter</t>
  </si>
  <si>
    <t>dB below ORION reverb</t>
  </si>
  <si>
    <t xml:space="preserve">WATSON direct+reverb </t>
  </si>
  <si>
    <t xml:space="preserve">Watson reverb level is </t>
  </si>
  <si>
    <t>dB</t>
  </si>
  <si>
    <t xml:space="preserve">WATSON addition to ORION reverb level </t>
  </si>
  <si>
    <t>ORION direct+reverb</t>
  </si>
  <si>
    <t>S</t>
  </si>
  <si>
    <t>Rm - m</t>
  </si>
  <si>
    <t>Avg wall absortion a</t>
  </si>
  <si>
    <t>A</t>
  </si>
  <si>
    <t>B</t>
  </si>
  <si>
    <t>C</t>
  </si>
  <si>
    <t>D</t>
  </si>
  <si>
    <t>E</t>
  </si>
  <si>
    <t>A - Example room</t>
  </si>
  <si>
    <t>V/S</t>
  </si>
  <si>
    <t>T60-ms</t>
  </si>
  <si>
    <t>Avg wall absorption a</t>
  </si>
  <si>
    <t>F - Two pairs of stereo loudspeakers</t>
  </si>
  <si>
    <t>F</t>
  </si>
  <si>
    <t xml:space="preserve">Volume/Surface  V/S= </t>
  </si>
  <si>
    <t>From A</t>
  </si>
  <si>
    <t xml:space="preserve">V/S = </t>
  </si>
  <si>
    <t xml:space="preserve">V = </t>
  </si>
  <si>
    <t xml:space="preserve">S = </t>
  </si>
  <si>
    <t>T60</t>
  </si>
  <si>
    <t>a =</t>
  </si>
  <si>
    <t>fs</t>
  </si>
  <si>
    <t>V</t>
  </si>
  <si>
    <t xml:space="preserve">  Large room</t>
  </si>
  <si>
    <t xml:space="preserve">  Medium room</t>
  </si>
  <si>
    <t xml:space="preserve">  Small room</t>
  </si>
  <si>
    <t>N</t>
  </si>
  <si>
    <t>fm / Hz</t>
  </si>
  <si>
    <t>L/H &lt; 3</t>
  </si>
  <si>
    <t>W/H &lt; 3</t>
  </si>
  <si>
    <t>© LINKWITZ LAB   29 March 2012</t>
  </si>
  <si>
    <r>
      <t xml:space="preserve">Listening Distance  D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2*Rx</t>
    </r>
  </si>
  <si>
    <t>Preferably:</t>
  </si>
  <si>
    <t>2*Rm</t>
  </si>
  <si>
    <t>2*Rd</t>
  </si>
  <si>
    <t>a</t>
  </si>
  <si>
    <t>%</t>
  </si>
  <si>
    <t>© LINKWITZ LAB   19 October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</si>
</sst>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sz val="8.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" fontId="0" fillId="0" borderId="0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4" fillId="0" borderId="0" xfId="0" applyNumberFormat="1" applyFont="1" applyAlignment="1">
      <alignment horizontal="right"/>
    </xf>
    <xf numFmtId="164" fontId="0" fillId="0" borderId="4" xfId="0" applyNumberFormat="1" applyBorder="1" applyAlignment="1">
      <alignment horizontal="center"/>
    </xf>
    <xf numFmtId="0" fontId="0" fillId="0" borderId="0" xfId="0" applyAlignment="1" quotePrefix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 horizontal="left"/>
    </xf>
    <xf numFmtId="2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1" fontId="0" fillId="0" borderId="0" xfId="0" applyNumberFormat="1" applyAlignment="1">
      <alignment horizontal="centerContinuous"/>
    </xf>
    <xf numFmtId="1" fontId="0" fillId="0" borderId="1" xfId="0" applyNumberFormat="1" applyFont="1" applyBorder="1" applyAlignment="1">
      <alignment horizontal="right"/>
    </xf>
    <xf numFmtId="164" fontId="0" fillId="0" borderId="7" xfId="0" applyNumberFormat="1" applyBorder="1" applyAlignment="1">
      <alignment/>
    </xf>
    <xf numFmtId="164" fontId="1" fillId="0" borderId="6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164" fontId="0" fillId="0" borderId="8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centerContinuous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1" fillId="0" borderId="5" xfId="0" applyNumberFormat="1" applyFont="1" applyBorder="1" applyAlignment="1">
      <alignment horizontal="left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6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4" fontId="0" fillId="0" borderId="6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3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0" borderId="5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center"/>
    </xf>
    <xf numFmtId="1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8" xfId="0" applyNumberFormat="1" applyBorder="1" applyAlignment="1">
      <alignment/>
    </xf>
    <xf numFmtId="1" fontId="4" fillId="0" borderId="7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64" fontId="0" fillId="0" borderId="6" xfId="0" applyNumberFormat="1" applyBorder="1" applyAlignment="1">
      <alignment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9" fontId="1" fillId="0" borderId="16" xfId="0" applyNumberFormat="1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0" xfId="0" applyNumberFormat="1" applyFont="1" applyAlignment="1">
      <alignment horizontal="left"/>
    </xf>
    <xf numFmtId="0" fontId="0" fillId="2" borderId="8" xfId="0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7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164" fontId="1" fillId="2" borderId="6" xfId="0" applyNumberFormat="1" applyFont="1" applyFill="1" applyBorder="1" applyAlignment="1">
      <alignment/>
    </xf>
    <xf numFmtId="164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4" xfId="0" applyFill="1" applyBorder="1" applyAlignment="1">
      <alignment/>
    </xf>
    <xf numFmtId="1" fontId="0" fillId="0" borderId="5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9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25" xfId="0" applyNumberFormat="1" applyBorder="1" applyAlignment="1">
      <alignment/>
    </xf>
    <xf numFmtId="164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" fontId="0" fillId="3" borderId="13" xfId="0" applyNumberForma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9" fontId="0" fillId="3" borderId="0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3" borderId="1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575"/>
          <c:w val="0.784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val>
            <c:numRef>
              <c:f>Data!$L$34:$L$109</c:f>
              <c:numCache>
                <c:ptCount val="76"/>
                <c:pt idx="0">
                  <c:v>22.566399999999998</c:v>
                </c:pt>
                <c:pt idx="1">
                  <c:v>35.26</c:v>
                </c:pt>
                <c:pt idx="2">
                  <c:v>41.862990922293164</c:v>
                </c:pt>
                <c:pt idx="3">
                  <c:v>45.132799999999996</c:v>
                </c:pt>
                <c:pt idx="4">
                  <c:v>57.273355374379804</c:v>
                </c:pt>
                <c:pt idx="5">
                  <c:v>62.68444444444444</c:v>
                </c:pt>
                <c:pt idx="6">
                  <c:v>66.62268370659231</c:v>
                </c:pt>
                <c:pt idx="7">
                  <c:v>67.69919999999999</c:v>
                </c:pt>
                <c:pt idx="8">
                  <c:v>70.52</c:v>
                </c:pt>
                <c:pt idx="9">
                  <c:v>71.92083964546465</c:v>
                </c:pt>
                <c:pt idx="10">
                  <c:v>74.04264182861117</c:v>
                </c:pt>
                <c:pt idx="11">
                  <c:v>75.37804444444444</c:v>
                </c:pt>
                <c:pt idx="12">
                  <c:v>76.3311815750287</c:v>
                </c:pt>
                <c:pt idx="13">
                  <c:v>77.24188767209566</c:v>
                </c:pt>
                <c:pt idx="14">
                  <c:v>83.72598184458633</c:v>
                </c:pt>
                <c:pt idx="15">
                  <c:v>84.9092268905367</c:v>
                </c:pt>
                <c:pt idx="16">
                  <c:v>90.26559999999999</c:v>
                </c:pt>
                <c:pt idx="17">
                  <c:v>92.26332562805571</c:v>
                </c:pt>
                <c:pt idx="18">
                  <c:v>94.35258329960362</c:v>
                </c:pt>
                <c:pt idx="19">
                  <c:v>96.90792611216071</c:v>
                </c:pt>
                <c:pt idx="20">
                  <c:v>97.0136711204593</c:v>
                </c:pt>
                <c:pt idx="21">
                  <c:v>97.75608462208375</c:v>
                </c:pt>
                <c:pt idx="22">
                  <c:v>98.77139695250159</c:v>
                </c:pt>
                <c:pt idx="23">
                  <c:v>104.59148919079716</c:v>
                </c:pt>
                <c:pt idx="24">
                  <c:v>105.78</c:v>
                </c:pt>
                <c:pt idx="25">
                  <c:v>108.16030144632548</c:v>
                </c:pt>
                <c:pt idx="26">
                  <c:v>109.89639720513425</c:v>
                </c:pt>
                <c:pt idx="27">
                  <c:v>112.832</c:v>
                </c:pt>
                <c:pt idx="28">
                  <c:v>114.54671074875961</c:v>
                </c:pt>
                <c:pt idx="29">
                  <c:v>115.00599130410554</c:v>
                </c:pt>
                <c:pt idx="30">
                  <c:v>115.41440862677692</c:v>
                </c:pt>
                <c:pt idx="31">
                  <c:v>116.12748019288388</c:v>
                </c:pt>
                <c:pt idx="32">
                  <c:v>118.21306113962197</c:v>
                </c:pt>
                <c:pt idx="33">
                  <c:v>122.9583180403369</c:v>
                </c:pt>
                <c:pt idx="34">
                  <c:v>125.01196096481584</c:v>
                </c:pt>
                <c:pt idx="35">
                  <c:v>125.36888888888888</c:v>
                </c:pt>
                <c:pt idx="36">
                  <c:v>125.5889727668795</c:v>
                </c:pt>
                <c:pt idx="37">
                  <c:v>127.38367521073712</c:v>
                </c:pt>
                <c:pt idx="38">
                  <c:v>129.07517111864948</c:v>
                </c:pt>
                <c:pt idx="39">
                  <c:v>130.23296779707727</c:v>
                </c:pt>
                <c:pt idx="40">
                  <c:v>130.5767533624138</c:v>
                </c:pt>
                <c:pt idx="41">
                  <c:v>130.979836658734</c:v>
                </c:pt>
                <c:pt idx="42">
                  <c:v>132.1736294053945</c:v>
                </c:pt>
                <c:pt idx="43">
                  <c:v>133.05686988652636</c:v>
                </c:pt>
                <c:pt idx="44">
                  <c:v>133.24536741318462</c:v>
                </c:pt>
                <c:pt idx="45">
                  <c:v>133.8045866153647</c:v>
                </c:pt>
                <c:pt idx="46">
                  <c:v>137.83176534121068</c:v>
                </c:pt>
                <c:pt idx="47">
                  <c:v>139.0585737858691</c:v>
                </c:pt>
                <c:pt idx="48">
                  <c:v>140.3635624225484</c:v>
                </c:pt>
                <c:pt idx="49">
                  <c:v>141.04</c:v>
                </c:pt>
                <c:pt idx="50">
                  <c:v>142.479963440038</c:v>
                </c:pt>
                <c:pt idx="51">
                  <c:v>142.83390356970574</c:v>
                </c:pt>
                <c:pt idx="52">
                  <c:v>143.8416792909293</c:v>
                </c:pt>
                <c:pt idx="53">
                  <c:v>145.60106836900124</c:v>
                </c:pt>
                <c:pt idx="54">
                  <c:v>146.7780895838155</c:v>
                </c:pt>
                <c:pt idx="55">
                  <c:v>147.08320842063733</c:v>
                </c:pt>
                <c:pt idx="56">
                  <c:v>148.08528365722233</c:v>
                </c:pt>
                <c:pt idx="57">
                  <c:v>150.75608888888888</c:v>
                </c:pt>
                <c:pt idx="58">
                  <c:v>152.53401757859993</c:v>
                </c:pt>
                <c:pt idx="59">
                  <c:v>154.34254492948028</c:v>
                </c:pt>
                <c:pt idx="60">
                  <c:v>154.48377534419132</c:v>
                </c:pt>
                <c:pt idx="61">
                  <c:v>154.66243443060117</c:v>
                </c:pt>
                <c:pt idx="62">
                  <c:v>155.983536260301</c:v>
                </c:pt>
                <c:pt idx="63">
                  <c:v>156.44635911596023</c:v>
                </c:pt>
                <c:pt idx="64">
                  <c:v>158.4566326936003</c:v>
                </c:pt>
                <c:pt idx="65">
                  <c:v>158.97676050880696</c:v>
                </c:pt>
                <c:pt idx="66">
                  <c:v>160.80606584065364</c:v>
                </c:pt>
                <c:pt idx="67">
                  <c:v>164.03282202423563</c:v>
                </c:pt>
                <c:pt idx="68">
                  <c:v>165.57780379686932</c:v>
                </c:pt>
                <c:pt idx="69">
                  <c:v>166.8826180262901</c:v>
                </c:pt>
                <c:pt idx="70">
                  <c:v>167.45196368917266</c:v>
                </c:pt>
                <c:pt idx="71">
                  <c:v>168.53724471448035</c:v>
                </c:pt>
                <c:pt idx="72">
                  <c:v>168.66658983104676</c:v>
                </c:pt>
                <c:pt idx="73">
                  <c:v>169.8184537810734</c:v>
                </c:pt>
                <c:pt idx="74">
                  <c:v>170.1285876537937</c:v>
                </c:pt>
                <c:pt idx="75">
                  <c:v>172.31275671068167</c:v>
                </c:pt>
              </c:numCache>
            </c:numRef>
          </c:val>
        </c:ser>
        <c:axId val="48541401"/>
        <c:axId val="34219426"/>
      </c:barChart>
      <c:catAx>
        <c:axId val="48541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Modes in ascending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19426"/>
        <c:crosses val="autoZero"/>
        <c:auto val="0"/>
        <c:lblOffset val="100"/>
        <c:noMultiLvlLbl val="0"/>
      </c:catAx>
      <c:valAx>
        <c:axId val="34219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541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Room Modes</a:t>
            </a:r>
          </a:p>
        </c:rich>
      </c:tx>
      <c:layout>
        <c:manualLayout>
          <c:xMode val="factor"/>
          <c:yMode val="factor"/>
          <c:x val="-0.21"/>
          <c:y val="0.1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75"/>
          <c:w val="0.90125"/>
          <c:h val="0.810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Data!$A$34:$A$103</c:f>
              <c:numCach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cat>
          <c:val>
            <c:numRef>
              <c:f>Data!$L$34:$L$103</c:f>
              <c:numCache>
                <c:ptCount val="70"/>
                <c:pt idx="0">
                  <c:v>22.566399999999998</c:v>
                </c:pt>
                <c:pt idx="1">
                  <c:v>35.26</c:v>
                </c:pt>
                <c:pt idx="2">
                  <c:v>41.862990922293164</c:v>
                </c:pt>
                <c:pt idx="3">
                  <c:v>45.132799999999996</c:v>
                </c:pt>
                <c:pt idx="4">
                  <c:v>57.273355374379804</c:v>
                </c:pt>
                <c:pt idx="5">
                  <c:v>62.68444444444444</c:v>
                </c:pt>
                <c:pt idx="6">
                  <c:v>66.62268370659231</c:v>
                </c:pt>
                <c:pt idx="7">
                  <c:v>67.69919999999999</c:v>
                </c:pt>
                <c:pt idx="8">
                  <c:v>70.52</c:v>
                </c:pt>
                <c:pt idx="9">
                  <c:v>71.92083964546465</c:v>
                </c:pt>
                <c:pt idx="10">
                  <c:v>74.04264182861117</c:v>
                </c:pt>
                <c:pt idx="11">
                  <c:v>75.37804444444444</c:v>
                </c:pt>
                <c:pt idx="12">
                  <c:v>76.3311815750287</c:v>
                </c:pt>
                <c:pt idx="13">
                  <c:v>77.24188767209566</c:v>
                </c:pt>
                <c:pt idx="14">
                  <c:v>83.72598184458633</c:v>
                </c:pt>
                <c:pt idx="15">
                  <c:v>84.9092268905367</c:v>
                </c:pt>
                <c:pt idx="16">
                  <c:v>90.26559999999999</c:v>
                </c:pt>
                <c:pt idx="17">
                  <c:v>92.26332562805571</c:v>
                </c:pt>
                <c:pt idx="18">
                  <c:v>94.35258329960362</c:v>
                </c:pt>
                <c:pt idx="19">
                  <c:v>96.90792611216071</c:v>
                </c:pt>
                <c:pt idx="20">
                  <c:v>97.0136711204593</c:v>
                </c:pt>
                <c:pt idx="21">
                  <c:v>97.75608462208375</c:v>
                </c:pt>
                <c:pt idx="22">
                  <c:v>98.77139695250159</c:v>
                </c:pt>
                <c:pt idx="23">
                  <c:v>104.59148919079716</c:v>
                </c:pt>
                <c:pt idx="24">
                  <c:v>105.78</c:v>
                </c:pt>
                <c:pt idx="25">
                  <c:v>108.16030144632548</c:v>
                </c:pt>
                <c:pt idx="26">
                  <c:v>109.89639720513425</c:v>
                </c:pt>
                <c:pt idx="27">
                  <c:v>112.832</c:v>
                </c:pt>
                <c:pt idx="28">
                  <c:v>114.54671074875961</c:v>
                </c:pt>
                <c:pt idx="29">
                  <c:v>115.00599130410554</c:v>
                </c:pt>
                <c:pt idx="30">
                  <c:v>115.41440862677692</c:v>
                </c:pt>
                <c:pt idx="31">
                  <c:v>116.12748019288388</c:v>
                </c:pt>
                <c:pt idx="32">
                  <c:v>118.21306113962197</c:v>
                </c:pt>
                <c:pt idx="33">
                  <c:v>122.9583180403369</c:v>
                </c:pt>
                <c:pt idx="34">
                  <c:v>125.01196096481584</c:v>
                </c:pt>
                <c:pt idx="35">
                  <c:v>125.36888888888888</c:v>
                </c:pt>
                <c:pt idx="36">
                  <c:v>125.5889727668795</c:v>
                </c:pt>
                <c:pt idx="37">
                  <c:v>127.38367521073712</c:v>
                </c:pt>
                <c:pt idx="38">
                  <c:v>129.07517111864948</c:v>
                </c:pt>
                <c:pt idx="39">
                  <c:v>130.23296779707727</c:v>
                </c:pt>
                <c:pt idx="40">
                  <c:v>130.5767533624138</c:v>
                </c:pt>
                <c:pt idx="41">
                  <c:v>130.979836658734</c:v>
                </c:pt>
                <c:pt idx="42">
                  <c:v>132.1736294053945</c:v>
                </c:pt>
                <c:pt idx="43">
                  <c:v>133.05686988652636</c:v>
                </c:pt>
                <c:pt idx="44">
                  <c:v>133.24536741318462</c:v>
                </c:pt>
                <c:pt idx="45">
                  <c:v>133.8045866153647</c:v>
                </c:pt>
                <c:pt idx="46">
                  <c:v>137.83176534121068</c:v>
                </c:pt>
                <c:pt idx="47">
                  <c:v>139.0585737858691</c:v>
                </c:pt>
                <c:pt idx="48">
                  <c:v>140.3635624225484</c:v>
                </c:pt>
                <c:pt idx="49">
                  <c:v>141.04</c:v>
                </c:pt>
                <c:pt idx="50">
                  <c:v>142.479963440038</c:v>
                </c:pt>
                <c:pt idx="51">
                  <c:v>142.83390356970574</c:v>
                </c:pt>
                <c:pt idx="52">
                  <c:v>143.8416792909293</c:v>
                </c:pt>
                <c:pt idx="53">
                  <c:v>145.60106836900124</c:v>
                </c:pt>
                <c:pt idx="54">
                  <c:v>146.7780895838155</c:v>
                </c:pt>
                <c:pt idx="55">
                  <c:v>147.08320842063733</c:v>
                </c:pt>
                <c:pt idx="56">
                  <c:v>148.08528365722233</c:v>
                </c:pt>
                <c:pt idx="57">
                  <c:v>150.75608888888888</c:v>
                </c:pt>
                <c:pt idx="58">
                  <c:v>152.53401757859993</c:v>
                </c:pt>
                <c:pt idx="59">
                  <c:v>154.34254492948028</c:v>
                </c:pt>
                <c:pt idx="60">
                  <c:v>154.48377534419132</c:v>
                </c:pt>
                <c:pt idx="61">
                  <c:v>154.66243443060117</c:v>
                </c:pt>
                <c:pt idx="62">
                  <c:v>155.983536260301</c:v>
                </c:pt>
                <c:pt idx="63">
                  <c:v>156.44635911596023</c:v>
                </c:pt>
                <c:pt idx="64">
                  <c:v>158.4566326936003</c:v>
                </c:pt>
                <c:pt idx="65">
                  <c:v>158.97676050880696</c:v>
                </c:pt>
                <c:pt idx="66">
                  <c:v>160.80606584065364</c:v>
                </c:pt>
                <c:pt idx="67">
                  <c:v>164.03282202423563</c:v>
                </c:pt>
                <c:pt idx="68">
                  <c:v>165.57780379686932</c:v>
                </c:pt>
                <c:pt idx="69">
                  <c:v>166.8826180262901</c:v>
                </c:pt>
              </c:numCache>
            </c:numRef>
          </c:val>
        </c:ser>
        <c:axId val="39539379"/>
        <c:axId val="20310092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Data!$A$34:$A$103</c:f>
              <c:numCach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cat>
          <c:val>
            <c:numRef>
              <c:f>Data!$M$34:$M$103</c:f>
              <c:numCache>
                <c:ptCount val="70"/>
                <c:pt idx="0">
                  <c:v>0</c:v>
                </c:pt>
                <c:pt idx="1">
                  <c:v>12.6936</c:v>
                </c:pt>
                <c:pt idx="2">
                  <c:v>6.602990922293166</c:v>
                </c:pt>
                <c:pt idx="3">
                  <c:v>3.2698090777068316</c:v>
                </c:pt>
                <c:pt idx="4">
                  <c:v>12.140555374379808</c:v>
                </c:pt>
                <c:pt idx="5">
                  <c:v>5.411089070064634</c:v>
                </c:pt>
                <c:pt idx="6">
                  <c:v>3.9382392621478743</c:v>
                </c:pt>
                <c:pt idx="7">
                  <c:v>1.0765162934076784</c:v>
                </c:pt>
                <c:pt idx="8">
                  <c:v>2.8208000000000055</c:v>
                </c:pt>
                <c:pt idx="9">
                  <c:v>1.4008396454646572</c:v>
                </c:pt>
                <c:pt idx="10">
                  <c:v>2.1218021831465137</c:v>
                </c:pt>
                <c:pt idx="11">
                  <c:v>1.3354026158332744</c:v>
                </c:pt>
                <c:pt idx="12">
                  <c:v>0.9531371305842526</c:v>
                </c:pt>
                <c:pt idx="13">
                  <c:v>0.9107060970669636</c:v>
                </c:pt>
                <c:pt idx="14">
                  <c:v>6.484094172490671</c:v>
                </c:pt>
                <c:pt idx="15">
                  <c:v>1.1832450459503718</c:v>
                </c:pt>
                <c:pt idx="16">
                  <c:v>5.356373109463291</c:v>
                </c:pt>
                <c:pt idx="17">
                  <c:v>1.9977256280557185</c:v>
                </c:pt>
                <c:pt idx="18">
                  <c:v>2.0892576715479123</c:v>
                </c:pt>
                <c:pt idx="19">
                  <c:v>2.555342812557086</c:v>
                </c:pt>
                <c:pt idx="20">
                  <c:v>0.10574500829859801</c:v>
                </c:pt>
                <c:pt idx="21">
                  <c:v>0.7424135016244406</c:v>
                </c:pt>
                <c:pt idx="22">
                  <c:v>1.0153123304178422</c:v>
                </c:pt>
                <c:pt idx="23">
                  <c:v>5.820092238295572</c:v>
                </c:pt>
                <c:pt idx="24">
                  <c:v>1.188510809202839</c:v>
                </c:pt>
                <c:pt idx="25">
                  <c:v>2.3803014463254755</c:v>
                </c:pt>
                <c:pt idx="26">
                  <c:v>1.7360957588087729</c:v>
                </c:pt>
                <c:pt idx="27">
                  <c:v>2.935602794865744</c:v>
                </c:pt>
                <c:pt idx="28">
                  <c:v>1.7147107487596145</c:v>
                </c:pt>
                <c:pt idx="29">
                  <c:v>0.45928055534592716</c:v>
                </c:pt>
                <c:pt idx="30">
                  <c:v>0.408417322671383</c:v>
                </c:pt>
                <c:pt idx="31">
                  <c:v>0.7130715661069615</c:v>
                </c:pt>
                <c:pt idx="32">
                  <c:v>2.085580946738091</c:v>
                </c:pt>
                <c:pt idx="33">
                  <c:v>4.745256900714935</c:v>
                </c:pt>
                <c:pt idx="34">
                  <c:v>2.053642924478936</c:v>
                </c:pt>
                <c:pt idx="35">
                  <c:v>0.35692792407303386</c:v>
                </c:pt>
                <c:pt idx="36">
                  <c:v>0.2200838779906178</c:v>
                </c:pt>
                <c:pt idx="37">
                  <c:v>1.7947024438576307</c:v>
                </c:pt>
                <c:pt idx="38">
                  <c:v>1.6914959079123548</c:v>
                </c:pt>
                <c:pt idx="39">
                  <c:v>1.1577966784277862</c:v>
                </c:pt>
                <c:pt idx="40">
                  <c:v>0.3437855653365318</c:v>
                </c:pt>
                <c:pt idx="41">
                  <c:v>0.40308329632020445</c:v>
                </c:pt>
                <c:pt idx="42">
                  <c:v>1.193792746660506</c:v>
                </c:pt>
                <c:pt idx="43">
                  <c:v>0.8832404811318497</c:v>
                </c:pt>
                <c:pt idx="44">
                  <c:v>0.18849752665826713</c:v>
                </c:pt>
                <c:pt idx="45">
                  <c:v>0.5592192021800884</c:v>
                </c:pt>
                <c:pt idx="46">
                  <c:v>4.027178725845971</c:v>
                </c:pt>
                <c:pt idx="47">
                  <c:v>1.2268084446584169</c:v>
                </c:pt>
                <c:pt idx="48">
                  <c:v>1.3049886366792975</c:v>
                </c:pt>
                <c:pt idx="49">
                  <c:v>0.676437577451594</c:v>
                </c:pt>
                <c:pt idx="50">
                  <c:v>1.4399634400380137</c:v>
                </c:pt>
                <c:pt idx="51">
                  <c:v>0.353940129667734</c:v>
                </c:pt>
                <c:pt idx="52">
                  <c:v>1.0077757212235667</c:v>
                </c:pt>
                <c:pt idx="53">
                  <c:v>1.7593890780719335</c:v>
                </c:pt>
                <c:pt idx="54">
                  <c:v>1.1770212148142605</c:v>
                </c:pt>
                <c:pt idx="55">
                  <c:v>0.3051188368218334</c:v>
                </c:pt>
                <c:pt idx="56">
                  <c:v>1.002075236585</c:v>
                </c:pt>
                <c:pt idx="57">
                  <c:v>2.6708052316665487</c:v>
                </c:pt>
                <c:pt idx="58">
                  <c:v>1.7779286897110467</c:v>
                </c:pt>
                <c:pt idx="59">
                  <c:v>1.8085273508803539</c:v>
                </c:pt>
                <c:pt idx="60">
                  <c:v>0.14123041471103193</c:v>
                </c:pt>
                <c:pt idx="61">
                  <c:v>0.1786590864098514</c:v>
                </c:pt>
                <c:pt idx="62">
                  <c:v>1.3211018296998418</c:v>
                </c:pt>
                <c:pt idx="63">
                  <c:v>0.4628228556592262</c:v>
                </c:pt>
                <c:pt idx="64">
                  <c:v>2.0102735776400777</c:v>
                </c:pt>
                <c:pt idx="65">
                  <c:v>0.5201278152066493</c:v>
                </c:pt>
                <c:pt idx="66">
                  <c:v>1.8293053318466832</c:v>
                </c:pt>
                <c:pt idx="67">
                  <c:v>3.2267561835819834</c:v>
                </c:pt>
                <c:pt idx="68">
                  <c:v>1.5449817726336903</c:v>
                </c:pt>
                <c:pt idx="69">
                  <c:v>1.3048142294207707</c:v>
                </c:pt>
              </c:numCache>
            </c:numRef>
          </c:val>
          <c:smooth val="0"/>
        </c:ser>
        <c:axId val="48573101"/>
        <c:axId val="34504726"/>
      </c:lineChart>
      <c:catAx>
        <c:axId val="39539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310092"/>
        <c:crosses val="autoZero"/>
        <c:auto val="0"/>
        <c:lblOffset val="100"/>
        <c:noMultiLvlLbl val="0"/>
      </c:catAx>
      <c:valAx>
        <c:axId val="20310092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Eigenfrequency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539379"/>
        <c:crossesAt val="1"/>
        <c:crossBetween val="between"/>
        <c:dispUnits/>
        <c:majorUnit val="20"/>
      </c:valAx>
      <c:catAx>
        <c:axId val="48573101"/>
        <c:scaling>
          <c:orientation val="minMax"/>
        </c:scaling>
        <c:axPos val="b"/>
        <c:delete val="1"/>
        <c:majorTickMark val="in"/>
        <c:minorTickMark val="none"/>
        <c:tickLblPos val="nextTo"/>
        <c:crossAx val="34504726"/>
        <c:crosses val="autoZero"/>
        <c:auto val="0"/>
        <c:lblOffset val="100"/>
        <c:noMultiLvlLbl val="0"/>
      </c:catAx>
      <c:valAx>
        <c:axId val="34504726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 spacing in Hz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573101"/>
        <c:crosses val="max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Monopole Reverberation Distance - Rm</a:t>
            </a:r>
          </a:p>
        </c:rich>
      </c:tx>
      <c:layout>
        <c:manualLayout>
          <c:xMode val="factor"/>
          <c:yMode val="factor"/>
          <c:x val="-0.0042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"/>
          <c:w val="0.94"/>
          <c:h val="0.854"/>
        </c:manualLayout>
      </c:layout>
      <c:lineChart>
        <c:grouping val="standard"/>
        <c:varyColors val="0"/>
        <c:ser>
          <c:idx val="0"/>
          <c:order val="0"/>
          <c:tx>
            <c:v>200ms T60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WATSON!$C$79:$C$97</c:f>
              <c:numCache/>
            </c:numRef>
          </c:val>
          <c:smooth val="0"/>
        </c:ser>
        <c:ser>
          <c:idx val="1"/>
          <c:order val="1"/>
          <c:tx>
            <c:v>300ms T60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WATSON!$D$79:$D$97</c:f>
              <c:numCache/>
            </c:numRef>
          </c:val>
          <c:smooth val="0"/>
        </c:ser>
        <c:ser>
          <c:idx val="2"/>
          <c:order val="2"/>
          <c:tx>
            <c:v>400ms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WATSON!$E$79:$E$97</c:f>
              <c:numCache/>
            </c:numRef>
          </c:val>
          <c:smooth val="0"/>
        </c:ser>
        <c:ser>
          <c:idx val="3"/>
          <c:order val="3"/>
          <c:tx>
            <c:v>500ms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WATSON!$F$79:$F$97</c:f>
              <c:numCache/>
            </c:numRef>
          </c:val>
          <c:smooth val="0"/>
        </c:ser>
        <c:ser>
          <c:idx val="4"/>
          <c:order val="4"/>
          <c:tx>
            <c:v>600ms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WATSON!$G$79:$G$97</c:f>
              <c:numCache/>
            </c:numRef>
          </c:val>
          <c:smooth val="0"/>
        </c:ser>
        <c:axId val="42107079"/>
        <c:axId val="43419392"/>
      </c:lineChart>
      <c:catAx>
        <c:axId val="42107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Room Volume V - m^3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19392"/>
        <c:crosses val="autoZero"/>
        <c:auto val="1"/>
        <c:lblOffset val="100"/>
        <c:noMultiLvlLbl val="0"/>
      </c:catAx>
      <c:valAx>
        <c:axId val="43419392"/>
        <c:scaling>
          <c:orientation val="minMax"/>
          <c:max val="1.8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Rm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07079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203"/>
          <c:w val="0.19875"/>
          <c:h val="0.207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Reverberation Time for room of specified dimensions L, W, 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WATSON!$D$164:$D$174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WATSON!$E$164:$E$174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55230209"/>
        <c:axId val="27309834"/>
      </c:lineChart>
      <c:catAx>
        <c:axId val="55230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Average Wall Absorption - a%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09834"/>
        <c:crosses val="autoZero"/>
        <c:auto val="1"/>
        <c:lblOffset val="100"/>
        <c:noMultiLvlLbl val="0"/>
      </c:catAx>
      <c:valAx>
        <c:axId val="27309834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30209"/>
        <c:crosses val="max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Monopole reverberation distance - Rm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55"/>
          <c:w val="0.90975"/>
          <c:h val="0.8375"/>
        </c:manualLayout>
      </c:layout>
      <c:lineChart>
        <c:grouping val="standard"/>
        <c:varyColors val="0"/>
        <c:ser>
          <c:idx val="0"/>
          <c:order val="0"/>
          <c:tx>
            <c:v>20% avg wall absorption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WATSON!$D$118:$D$130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30%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WATSON!$E$118:$E$130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40%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WATSON!$F$118:$F$130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50%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WATSON!$G$118:$G$130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4461915"/>
        <c:axId val="64612916"/>
      </c:lineChart>
      <c:catAx>
        <c:axId val="4446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Room surface area S - 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12916"/>
        <c:crosses val="autoZero"/>
        <c:auto val="1"/>
        <c:lblOffset val="100"/>
        <c:noMultiLvlLbl val="0"/>
      </c:catAx>
      <c:valAx>
        <c:axId val="64612916"/>
        <c:scaling>
          <c:orientation val="minMax"/>
          <c:max val="1.8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61915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8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Reverberation time T60 - ms</a:t>
            </a:r>
          </a:p>
        </c:rich>
      </c:tx>
      <c:layout>
        <c:manualLayout>
          <c:xMode val="factor"/>
          <c:yMode val="factor"/>
          <c:x val="-0.00625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35"/>
          <c:w val="0.94725"/>
          <c:h val="0.81875"/>
        </c:manualLayout>
      </c:layout>
      <c:lineChart>
        <c:grouping val="standard"/>
        <c:varyColors val="0"/>
        <c:ser>
          <c:idx val="0"/>
          <c:order val="0"/>
          <c:tx>
            <c:v>10% avg wall absorption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WATSON!$D$42:$D$51</c:f>
              <c:numCache/>
            </c:numRef>
          </c:val>
          <c:smooth val="0"/>
        </c:ser>
        <c:ser>
          <c:idx val="1"/>
          <c:order val="1"/>
          <c:tx>
            <c:v>20%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WATSON!$E$42:$E$51</c:f>
              <c:numCache/>
            </c:numRef>
          </c:val>
          <c:smooth val="0"/>
        </c:ser>
        <c:ser>
          <c:idx val="2"/>
          <c:order val="2"/>
          <c:tx>
            <c:v>30%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WATSON!$F$42:$F$51</c:f>
              <c:numCache/>
            </c:numRef>
          </c:val>
          <c:smooth val="0"/>
        </c:ser>
        <c:ser>
          <c:idx val="3"/>
          <c:order val="3"/>
          <c:tx>
            <c:v>40%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WATSON!$G$42:$G$51</c:f>
              <c:numCache/>
            </c:numRef>
          </c:val>
          <c:smooth val="0"/>
        </c:ser>
        <c:ser>
          <c:idx val="4"/>
          <c:order val="4"/>
          <c:tx>
            <c:v>50%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WATSON!$H$42:$H$51</c:f>
              <c:numCache/>
            </c:numRef>
          </c:val>
          <c:smooth val="0"/>
        </c:ser>
        <c:ser>
          <c:idx val="5"/>
          <c:order val="5"/>
          <c:tx>
            <c:v>60%</c:v>
          </c:tx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WATSON!$I$42:$I$51</c:f>
              <c:numCache/>
            </c:numRef>
          </c:val>
          <c:smooth val="0"/>
        </c:ser>
        <c:axId val="44645333"/>
        <c:axId val="66263678"/>
      </c:lineChart>
      <c:catAx>
        <c:axId val="44645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Room Volume/Surface Area  V/S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63678"/>
        <c:crosses val="autoZero"/>
        <c:auto val="1"/>
        <c:lblOffset val="100"/>
        <c:noMultiLvlLbl val="0"/>
      </c:catAx>
      <c:valAx>
        <c:axId val="66263678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45333"/>
        <c:crosses val="max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5"/>
          <c:y val="0.1885"/>
          <c:w val="0.3045"/>
          <c:h val="0.22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025"/>
          <c:w val="0.90525"/>
          <c:h val="0.89825"/>
        </c:manualLayout>
      </c:layout>
      <c:lineChart>
        <c:grouping val="standard"/>
        <c:varyColors val="0"/>
        <c:ser>
          <c:idx val="0"/>
          <c:order val="0"/>
          <c:tx>
            <c:v>2*Rm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'Listening Distance'!$B$42:$B$59</c:f>
              <c:numCache/>
            </c:numRef>
          </c:cat>
          <c:val>
            <c:numRef>
              <c:f>'Listening Distance'!$C$42:$C$59</c:f>
              <c:numCache/>
            </c:numRef>
          </c:val>
          <c:smooth val="0"/>
        </c:ser>
        <c:ser>
          <c:idx val="1"/>
          <c:order val="1"/>
          <c:tx>
            <c:v>2*Rd</c:v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'Listening Distance'!$B$42:$B$59</c:f>
              <c:numCache/>
            </c:numRef>
          </c:cat>
          <c:val>
            <c:numRef>
              <c:f>'Listening Distance'!$D$42:$D$59</c:f>
              <c:numCache/>
            </c:numRef>
          </c:val>
          <c:smooth val="0"/>
        </c:ser>
        <c:axId val="59502191"/>
        <c:axId val="65757672"/>
      </c:lineChart>
      <c:lineChart>
        <c:grouping val="standard"/>
        <c:varyColors val="0"/>
        <c:ser>
          <c:idx val="2"/>
          <c:order val="2"/>
          <c:tx>
            <c:v>a %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'Listening Distance'!$B$42:$B$59</c:f>
              <c:numCache/>
            </c:numRef>
          </c:cat>
          <c:val>
            <c:numRef>
              <c:f>'Listening Distance'!$E$42:$E$59</c:f>
              <c:numCache/>
            </c:numRef>
          </c:val>
          <c:smooth val="0"/>
        </c:ser>
        <c:axId val="54948137"/>
        <c:axId val="24771186"/>
      </c:lineChart>
      <c:catAx>
        <c:axId val="59502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Midrange 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757672"/>
        <c:crosses val="autoZero"/>
        <c:auto val="1"/>
        <c:lblOffset val="100"/>
        <c:noMultiLvlLbl val="0"/>
      </c:catAx>
      <c:valAx>
        <c:axId val="65757672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Max. listening distance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02191"/>
        <c:crosses val="max"/>
        <c:crossBetween val="midCat"/>
        <c:dispUnits/>
        <c:majorUnit val="0.5"/>
        <c:minorUnit val="0.5"/>
      </c:valAx>
      <c:catAx>
        <c:axId val="54948137"/>
        <c:scaling>
          <c:orientation val="minMax"/>
        </c:scaling>
        <c:axPos val="b"/>
        <c:delete val="1"/>
        <c:majorTickMark val="in"/>
        <c:minorTickMark val="none"/>
        <c:tickLblPos val="nextTo"/>
        <c:crossAx val="24771186"/>
        <c:crosses val="autoZero"/>
        <c:auto val="1"/>
        <c:lblOffset val="100"/>
        <c:noMultiLvlLbl val="0"/>
      </c:catAx>
      <c:valAx>
        <c:axId val="24771186"/>
        <c:scaling>
          <c:orientation val="minMax"/>
          <c:max val="0.7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4948137"/>
        <c:crossesAt val="1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09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73</xdr:row>
      <xdr:rowOff>19050</xdr:rowOff>
    </xdr:from>
    <xdr:to>
      <xdr:col>18</xdr:col>
      <xdr:colOff>590550</xdr:colOff>
      <xdr:row>109</xdr:row>
      <xdr:rowOff>47625</xdr:rowOff>
    </xdr:to>
    <xdr:graphicFrame>
      <xdr:nvGraphicFramePr>
        <xdr:cNvPr id="1" name="Chart 2"/>
        <xdr:cNvGraphicFramePr/>
      </xdr:nvGraphicFramePr>
      <xdr:xfrm>
        <a:off x="5467350" y="11896725"/>
        <a:ext cx="60960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153</xdr:row>
      <xdr:rowOff>0</xdr:rowOff>
    </xdr:from>
    <xdr:to>
      <xdr:col>18</xdr:col>
      <xdr:colOff>571500</xdr:colOff>
      <xdr:row>178</xdr:row>
      <xdr:rowOff>114300</xdr:rowOff>
    </xdr:to>
    <xdr:graphicFrame>
      <xdr:nvGraphicFramePr>
        <xdr:cNvPr id="2" name="Chart 3"/>
        <xdr:cNvGraphicFramePr/>
      </xdr:nvGraphicFramePr>
      <xdr:xfrm>
        <a:off x="5505450" y="24831675"/>
        <a:ext cx="60388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113</xdr:row>
      <xdr:rowOff>0</xdr:rowOff>
    </xdr:from>
    <xdr:to>
      <xdr:col>19</xdr:col>
      <xdr:colOff>38100</xdr:colOff>
      <xdr:row>148</xdr:row>
      <xdr:rowOff>152400</xdr:rowOff>
    </xdr:to>
    <xdr:graphicFrame>
      <xdr:nvGraphicFramePr>
        <xdr:cNvPr id="3" name="Chart 6"/>
        <xdr:cNvGraphicFramePr/>
      </xdr:nvGraphicFramePr>
      <xdr:xfrm>
        <a:off x="5505450" y="18354675"/>
        <a:ext cx="61150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600075</xdr:colOff>
      <xdr:row>37</xdr:row>
      <xdr:rowOff>9525</xdr:rowOff>
    </xdr:from>
    <xdr:to>
      <xdr:col>19</xdr:col>
      <xdr:colOff>590550</xdr:colOff>
      <xdr:row>68</xdr:row>
      <xdr:rowOff>104775</xdr:rowOff>
    </xdr:to>
    <xdr:graphicFrame>
      <xdr:nvGraphicFramePr>
        <xdr:cNvPr id="4" name="Chart 8"/>
        <xdr:cNvGraphicFramePr/>
      </xdr:nvGraphicFramePr>
      <xdr:xfrm>
        <a:off x="6086475" y="6057900"/>
        <a:ext cx="6086475" cy="5114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35</xdr:row>
      <xdr:rowOff>9525</xdr:rowOff>
    </xdr:from>
    <xdr:to>
      <xdr:col>16</xdr:col>
      <xdr:colOff>228600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3943350" y="5676900"/>
        <a:ext cx="60388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8"/>
  <sheetViews>
    <sheetView zoomScale="85" zoomScaleNormal="85" workbookViewId="0" topLeftCell="A1">
      <selection activeCell="G6" sqref="G6"/>
    </sheetView>
  </sheetViews>
  <sheetFormatPr defaultColWidth="9.140625" defaultRowHeight="12.75"/>
  <cols>
    <col min="1" max="4" width="4.7109375" style="0" customWidth="1"/>
    <col min="5" max="5" width="9.140625" style="3" customWidth="1"/>
    <col min="6" max="11" width="5.7109375" style="0" customWidth="1"/>
    <col min="12" max="12" width="9.140625" style="54" customWidth="1"/>
    <col min="13" max="13" width="9.140625" style="30" customWidth="1"/>
    <col min="14" max="14" width="9.140625" style="3" customWidth="1"/>
  </cols>
  <sheetData>
    <row r="1" spans="3:14" ht="12.75">
      <c r="C1" s="1"/>
      <c r="N1" s="38"/>
    </row>
    <row r="2" spans="2:14" ht="12.75">
      <c r="B2" s="1" t="s">
        <v>0</v>
      </c>
      <c r="C2" s="3"/>
      <c r="E2"/>
      <c r="K2" s="61" t="s">
        <v>46</v>
      </c>
      <c r="N2"/>
    </row>
    <row r="3" spans="2:14" ht="12.75">
      <c r="B3" s="62" t="s">
        <v>43</v>
      </c>
      <c r="C3" s="3"/>
      <c r="E3"/>
      <c r="L3" s="30"/>
      <c r="N3"/>
    </row>
    <row r="4" spans="2:14" ht="12.75">
      <c r="B4" s="62"/>
      <c r="C4" s="3"/>
      <c r="E4"/>
      <c r="L4" s="30"/>
      <c r="N4"/>
    </row>
    <row r="5" spans="5:14" ht="12.75">
      <c r="E5"/>
      <c r="F5" s="5" t="s">
        <v>1</v>
      </c>
      <c r="G5" s="36">
        <v>25</v>
      </c>
      <c r="H5" s="37" t="s">
        <v>2</v>
      </c>
      <c r="I5" s="13">
        <f>G5*0.305</f>
        <v>7.625</v>
      </c>
      <c r="J5" t="s">
        <v>3</v>
      </c>
      <c r="L5" s="53" t="s">
        <v>4</v>
      </c>
      <c r="M5" s="46"/>
      <c r="N5" s="8"/>
    </row>
    <row r="6" spans="3:22" ht="12.75">
      <c r="C6" s="3"/>
      <c r="E6" s="2" t="s">
        <v>5</v>
      </c>
      <c r="F6" s="5" t="s">
        <v>6</v>
      </c>
      <c r="G6" s="36">
        <v>16</v>
      </c>
      <c r="H6" s="37" t="s">
        <v>2</v>
      </c>
      <c r="I6" s="13">
        <f>G6*0.305</f>
        <v>4.88</v>
      </c>
      <c r="J6" t="s">
        <v>3</v>
      </c>
      <c r="K6" s="3"/>
      <c r="L6" s="48" t="s">
        <v>7</v>
      </c>
      <c r="M6" s="31"/>
      <c r="N6" s="9"/>
      <c r="Q6" s="22"/>
      <c r="R6" s="22"/>
      <c r="S6" s="22"/>
      <c r="T6" s="22"/>
      <c r="U6" s="22"/>
      <c r="V6" s="22"/>
    </row>
    <row r="7" spans="3:22" ht="12.75">
      <c r="C7" s="3"/>
      <c r="E7"/>
      <c r="F7" s="5" t="s">
        <v>8</v>
      </c>
      <c r="G7" s="36">
        <v>9</v>
      </c>
      <c r="H7" s="37" t="s">
        <v>2</v>
      </c>
      <c r="I7" s="13">
        <f>G7*0.305</f>
        <v>2.745</v>
      </c>
      <c r="J7" t="s">
        <v>3</v>
      </c>
      <c r="K7" s="3"/>
      <c r="L7" s="26">
        <f>1.1*G6/G7</f>
        <v>1.9555555555555557</v>
      </c>
      <c r="M7" s="7">
        <f>G5/G7</f>
        <v>2.7777777777777777</v>
      </c>
      <c r="N7" s="11">
        <f>4.5*G6/G7-4</f>
        <v>4</v>
      </c>
      <c r="Q7" s="22"/>
      <c r="R7" s="82"/>
      <c r="S7" s="82"/>
      <c r="T7" s="82"/>
      <c r="U7" s="82"/>
      <c r="V7" s="82"/>
    </row>
    <row r="8" spans="3:22" ht="12.75">
      <c r="C8" s="3"/>
      <c r="E8"/>
      <c r="F8" s="5"/>
      <c r="G8" s="1"/>
      <c r="H8" s="12"/>
      <c r="I8" s="13"/>
      <c r="K8" s="3"/>
      <c r="N8" s="10" t="s">
        <v>9</v>
      </c>
      <c r="Q8" s="22"/>
      <c r="R8" s="22"/>
      <c r="S8" s="22"/>
      <c r="T8" s="22"/>
      <c r="U8" s="22"/>
      <c r="V8" s="22"/>
    </row>
    <row r="9" spans="3:22" ht="12.75">
      <c r="C9" s="3"/>
      <c r="E9"/>
      <c r="F9" s="18" t="s">
        <v>10</v>
      </c>
      <c r="G9" s="3">
        <f>I9*10.76</f>
        <v>400.3796</v>
      </c>
      <c r="H9" t="s">
        <v>11</v>
      </c>
      <c r="I9" s="30">
        <f>I5*I6</f>
        <v>37.21</v>
      </c>
      <c r="J9" t="s">
        <v>12</v>
      </c>
      <c r="L9" s="30"/>
      <c r="N9" s="10"/>
      <c r="Q9" s="83"/>
      <c r="R9" s="83"/>
      <c r="S9" s="83"/>
      <c r="T9" s="83"/>
      <c r="U9" s="83"/>
      <c r="V9" s="83"/>
    </row>
    <row r="10" spans="3:22" ht="12.75">
      <c r="C10" s="3"/>
      <c r="E10"/>
      <c r="F10" s="18" t="s">
        <v>13</v>
      </c>
      <c r="G10" s="3">
        <f>I10*35.31</f>
        <v>3606.6145995000006</v>
      </c>
      <c r="H10" t="s">
        <v>14</v>
      </c>
      <c r="I10" s="3">
        <f>I5*I6*I7</f>
        <v>102.14145</v>
      </c>
      <c r="J10" t="s">
        <v>15</v>
      </c>
      <c r="L10" s="30"/>
      <c r="N10" s="10"/>
      <c r="Q10" s="83"/>
      <c r="R10" s="83"/>
      <c r="S10" s="83"/>
      <c r="T10" s="83"/>
      <c r="U10" s="83"/>
      <c r="V10" s="83"/>
    </row>
    <row r="11" spans="3:22" ht="12.75">
      <c r="C11" s="3"/>
      <c r="E11"/>
      <c r="F11" s="18" t="s">
        <v>16</v>
      </c>
      <c r="G11" s="3">
        <f>I11*10.76</f>
        <v>1539.459562</v>
      </c>
      <c r="H11" t="s">
        <v>11</v>
      </c>
      <c r="I11" s="3">
        <f>2*(I5*I6+I5*I7+I6*I7)</f>
        <v>143.07245</v>
      </c>
      <c r="J11" t="s">
        <v>12</v>
      </c>
      <c r="L11" s="30"/>
      <c r="N11"/>
      <c r="Q11" s="83"/>
      <c r="R11" s="84"/>
      <c r="S11" s="84"/>
      <c r="T11" s="84"/>
      <c r="U11" s="85"/>
      <c r="V11" s="85"/>
    </row>
    <row r="12" spans="3:22" ht="12.75">
      <c r="C12" s="3"/>
      <c r="E12"/>
      <c r="F12" s="18" t="s">
        <v>17</v>
      </c>
      <c r="G12" s="3">
        <f>I12*3.28</f>
        <v>200.07999999999998</v>
      </c>
      <c r="H12" t="s">
        <v>2</v>
      </c>
      <c r="I12" s="3">
        <f>4*(I5+I6+I7)</f>
        <v>61</v>
      </c>
      <c r="J12" t="s">
        <v>3</v>
      </c>
      <c r="L12" s="30"/>
      <c r="N12"/>
      <c r="Q12" s="83"/>
      <c r="R12" s="84"/>
      <c r="S12" s="84"/>
      <c r="T12" s="84"/>
      <c r="U12" s="85"/>
      <c r="V12" s="85"/>
    </row>
    <row r="13" spans="3:22" ht="12.75">
      <c r="C13" s="3"/>
      <c r="E13"/>
      <c r="N13"/>
      <c r="Q13" s="83"/>
      <c r="R13" s="84"/>
      <c r="S13" s="84"/>
      <c r="T13" s="84"/>
      <c r="U13" s="85"/>
      <c r="V13" s="85"/>
    </row>
    <row r="14" spans="3:22" ht="12.75">
      <c r="C14" s="23"/>
      <c r="D14" s="17"/>
      <c r="E14" s="17"/>
      <c r="F14" s="14" t="s">
        <v>18</v>
      </c>
      <c r="G14" s="19">
        <v>150</v>
      </c>
      <c r="H14" s="19" t="s">
        <v>19</v>
      </c>
      <c r="K14" s="3"/>
      <c r="N14"/>
      <c r="Q14" s="83"/>
      <c r="R14" s="84"/>
      <c r="S14" s="84"/>
      <c r="T14" s="84"/>
      <c r="U14" s="85"/>
      <c r="V14" s="85"/>
    </row>
    <row r="15" spans="3:22" ht="12.75">
      <c r="C15" s="3"/>
      <c r="E15"/>
      <c r="F15" s="15" t="s">
        <v>20</v>
      </c>
      <c r="G15" s="21">
        <f>((4*PI()/3)*I10*(G14/344)^3)+((PI()/4)*I11*(G14/344)^2)+I12*G14/(8*344)</f>
        <v>60.16255712211774</v>
      </c>
      <c r="H15" s="22"/>
      <c r="I15" s="22"/>
      <c r="N15"/>
      <c r="Q15" s="83"/>
      <c r="R15" s="84"/>
      <c r="S15" s="84"/>
      <c r="T15" s="84"/>
      <c r="U15" s="85"/>
      <c r="V15" s="85"/>
    </row>
    <row r="16" spans="3:22" ht="12.75">
      <c r="C16" s="3"/>
      <c r="E16"/>
      <c r="F16" s="15" t="s">
        <v>21</v>
      </c>
      <c r="G16" s="31">
        <f>1/(4*PI()*I10*(G14^2)/344^3)</f>
        <v>1.4095514308678034</v>
      </c>
      <c r="H16" s="22" t="s">
        <v>22</v>
      </c>
      <c r="I16" s="22"/>
      <c r="N16"/>
      <c r="Q16" s="83"/>
      <c r="R16" s="84"/>
      <c r="S16" s="84"/>
      <c r="T16" s="84"/>
      <c r="U16" s="85"/>
      <c r="V16" s="85"/>
    </row>
    <row r="17" spans="3:22" ht="12.75">
      <c r="C17" s="3"/>
      <c r="E17"/>
      <c r="G17" s="1"/>
      <c r="H17" s="1"/>
      <c r="J17" s="15"/>
      <c r="K17" s="16"/>
      <c r="N17"/>
      <c r="Q17" s="83"/>
      <c r="R17" s="84"/>
      <c r="S17" s="84"/>
      <c r="T17" s="84"/>
      <c r="U17" s="85"/>
      <c r="V17" s="85"/>
    </row>
    <row r="18" spans="2:22" ht="12.75">
      <c r="B18" s="17"/>
      <c r="C18" s="23"/>
      <c r="D18" s="17"/>
      <c r="E18" s="17"/>
      <c r="F18" s="14" t="s">
        <v>23</v>
      </c>
      <c r="G18" s="19">
        <v>700</v>
      </c>
      <c r="H18" s="19" t="s">
        <v>24</v>
      </c>
      <c r="J18" s="15"/>
      <c r="K18" s="16"/>
      <c r="N18"/>
      <c r="Q18" s="83"/>
      <c r="R18" s="84"/>
      <c r="S18" s="84"/>
      <c r="T18" s="84"/>
      <c r="U18" s="85"/>
      <c r="V18" s="85"/>
    </row>
    <row r="19" spans="3:14" ht="12.75">
      <c r="C19" s="3"/>
      <c r="E19"/>
      <c r="F19" s="15" t="s">
        <v>25</v>
      </c>
      <c r="G19" s="32">
        <f>2200/G18</f>
        <v>3.142857142857143</v>
      </c>
      <c r="H19" s="16" t="s">
        <v>19</v>
      </c>
      <c r="J19" s="15"/>
      <c r="K19" s="16"/>
      <c r="N19"/>
    </row>
    <row r="20" spans="3:14" ht="12.75">
      <c r="C20" s="3"/>
      <c r="E20"/>
      <c r="F20" s="15" t="s">
        <v>26</v>
      </c>
      <c r="G20" s="21">
        <f>0.32*G18</f>
        <v>224</v>
      </c>
      <c r="H20" s="16" t="s">
        <v>24</v>
      </c>
      <c r="J20" s="15"/>
      <c r="K20" s="16"/>
      <c r="N20"/>
    </row>
    <row r="21" spans="3:14" ht="12.75">
      <c r="C21" s="3"/>
      <c r="E21"/>
      <c r="F21" s="15" t="s">
        <v>27</v>
      </c>
      <c r="G21" s="21">
        <f>1900*SQRT(G18/(I10*1000))</f>
        <v>157.29018076919144</v>
      </c>
      <c r="H21" s="16" t="s">
        <v>19</v>
      </c>
      <c r="N21"/>
    </row>
    <row r="22" spans="3:14" ht="12.75">
      <c r="C22" s="3"/>
      <c r="E22"/>
      <c r="F22" s="15" t="s">
        <v>28</v>
      </c>
      <c r="G22" s="39">
        <f>0.1*SQRT(I10/(PI()*G18/1000))</f>
        <v>0.6815175642233751</v>
      </c>
      <c r="H22" s="34" t="s">
        <v>3</v>
      </c>
      <c r="I22" s="30">
        <f>3.28*G22</f>
        <v>2.23537761065267</v>
      </c>
      <c r="J22" t="s">
        <v>2</v>
      </c>
      <c r="N22"/>
    </row>
    <row r="23" spans="3:14" ht="12.75">
      <c r="C23" s="3"/>
      <c r="E23"/>
      <c r="F23" s="15" t="s">
        <v>29</v>
      </c>
      <c r="G23" s="39">
        <f>0.1*SQRT(3*I10/(PI()*G18/1000))</f>
        <v>1.1804230474854709</v>
      </c>
      <c r="H23" s="34" t="s">
        <v>3</v>
      </c>
      <c r="I23" s="30">
        <f>3.28*G23</f>
        <v>3.871787595752344</v>
      </c>
      <c r="J23" t="s">
        <v>2</v>
      </c>
      <c r="N23"/>
    </row>
    <row r="24" spans="3:14" ht="12.75">
      <c r="C24" s="3"/>
      <c r="E24"/>
      <c r="F24" s="15" t="s">
        <v>30</v>
      </c>
      <c r="G24" s="40">
        <f>0.163*I10/(G18*I11/1000)</f>
        <v>0.16624001486160137</v>
      </c>
      <c r="H24" s="24"/>
      <c r="N24"/>
    </row>
    <row r="25" spans="3:14" ht="12.75">
      <c r="C25" s="3"/>
      <c r="E25"/>
      <c r="F25" s="22"/>
      <c r="G25" s="24"/>
      <c r="H25" s="24"/>
      <c r="N25"/>
    </row>
    <row r="26" spans="2:14" ht="12.75">
      <c r="B26" s="17"/>
      <c r="C26" s="23"/>
      <c r="D26" s="17"/>
      <c r="E26" s="17"/>
      <c r="F26" s="14" t="s">
        <v>31</v>
      </c>
      <c r="G26" s="41">
        <v>0.1</v>
      </c>
      <c r="H26" s="42" t="s">
        <v>32</v>
      </c>
      <c r="L26" s="55" t="s">
        <v>33</v>
      </c>
      <c r="M26" s="4">
        <v>344</v>
      </c>
      <c r="N26" s="27" t="s">
        <v>34</v>
      </c>
    </row>
    <row r="27" spans="3:14" ht="12.75">
      <c r="C27" s="3"/>
      <c r="E27"/>
      <c r="F27" s="15" t="s">
        <v>35</v>
      </c>
      <c r="G27" s="28">
        <f>1000*0.163*I10/(I11*G26)</f>
        <v>1163.6801040312093</v>
      </c>
      <c r="H27" s="34" t="s">
        <v>24</v>
      </c>
      <c r="L27" s="30"/>
      <c r="M27" s="3">
        <f>M26*3.28</f>
        <v>1128.32</v>
      </c>
      <c r="N27" s="27" t="s">
        <v>36</v>
      </c>
    </row>
    <row r="28" spans="3:14" ht="12.75">
      <c r="C28" s="3"/>
      <c r="E28"/>
      <c r="F28" s="15"/>
      <c r="G28" s="21"/>
      <c r="H28" s="16"/>
      <c r="N28"/>
    </row>
    <row r="29" spans="3:14" ht="12.75">
      <c r="C29" s="3"/>
      <c r="E29"/>
      <c r="F29" s="15"/>
      <c r="G29" s="21"/>
      <c r="H29" s="16"/>
      <c r="N29"/>
    </row>
    <row r="30" spans="3:14" ht="12.75">
      <c r="C30" s="3"/>
      <c r="E30"/>
      <c r="F30" s="15"/>
      <c r="G30" s="21"/>
      <c r="H30" s="16"/>
      <c r="I30" t="s">
        <v>45</v>
      </c>
      <c r="N30"/>
    </row>
    <row r="31" spans="3:14" ht="12.75">
      <c r="C31" s="3"/>
      <c r="E31"/>
      <c r="F31" s="5"/>
      <c r="G31" s="1"/>
      <c r="H31" s="12"/>
      <c r="I31" t="s">
        <v>44</v>
      </c>
      <c r="N31" s="10"/>
    </row>
    <row r="32" spans="1:14" ht="12.75">
      <c r="A32" s="51"/>
      <c r="B32" s="52" t="s">
        <v>37</v>
      </c>
      <c r="C32" s="51"/>
      <c r="D32" s="51"/>
      <c r="E32" s="44"/>
      <c r="J32" s="51"/>
      <c r="K32" s="63" t="s">
        <v>38</v>
      </c>
      <c r="L32" s="56"/>
      <c r="M32" s="60" t="s">
        <v>39</v>
      </c>
      <c r="N32" s="44"/>
    </row>
    <row r="33" spans="1:14" s="1" customFormat="1" ht="12.75">
      <c r="A33" s="19"/>
      <c r="B33" s="49" t="s">
        <v>40</v>
      </c>
      <c r="C33" s="33" t="s">
        <v>41</v>
      </c>
      <c r="D33" s="33" t="s">
        <v>42</v>
      </c>
      <c r="E33" s="29" t="s">
        <v>19</v>
      </c>
      <c r="I33" s="33" t="s">
        <v>40</v>
      </c>
      <c r="J33" s="33" t="s">
        <v>41</v>
      </c>
      <c r="K33" s="33" t="s">
        <v>42</v>
      </c>
      <c r="L33" s="57" t="s">
        <v>19</v>
      </c>
      <c r="M33" s="47" t="s">
        <v>19</v>
      </c>
      <c r="N33" s="45"/>
    </row>
    <row r="34" spans="1:14" s="1" customFormat="1" ht="12.75">
      <c r="A34" s="27">
        <v>1</v>
      </c>
      <c r="B34" s="50">
        <v>0</v>
      </c>
      <c r="C34" s="27">
        <v>1</v>
      </c>
      <c r="D34" s="34">
        <v>0</v>
      </c>
      <c r="E34" s="6">
        <f aca="true" t="shared" si="0" ref="E34:E97">(M$27/2)*SQRT(((B34/G$5)^2)+((C34/G$6)^2)+((D34/G$7)^2))</f>
        <v>35.26</v>
      </c>
      <c r="H34" s="27"/>
      <c r="I34" s="24">
        <v>1</v>
      </c>
      <c r="J34" s="24">
        <v>0</v>
      </c>
      <c r="K34" s="24">
        <v>0</v>
      </c>
      <c r="L34" s="58">
        <f>(M$27/2)*SQRT(((I34/$G$5)^2)+((J34/$G$6)^2)+((K34/$G$7)^2))</f>
        <v>22.566399999999998</v>
      </c>
      <c r="M34" s="48" t="s">
        <v>32</v>
      </c>
      <c r="N34" s="20"/>
    </row>
    <row r="35" spans="1:14" s="1" customFormat="1" ht="12.75">
      <c r="A35" s="27">
        <v>2</v>
      </c>
      <c r="B35" s="50">
        <v>0</v>
      </c>
      <c r="C35" s="34">
        <v>2</v>
      </c>
      <c r="D35" s="34">
        <v>0</v>
      </c>
      <c r="E35" s="6">
        <f t="shared" si="0"/>
        <v>70.52</v>
      </c>
      <c r="H35" s="27"/>
      <c r="I35" s="43">
        <v>0</v>
      </c>
      <c r="J35" s="1">
        <v>1</v>
      </c>
      <c r="K35" s="24">
        <v>0</v>
      </c>
      <c r="L35" s="58">
        <f>(M$27/2)*SQRT(((I35/$G$5)^2)+((J35/$G$6)^2)+((K35/$G$7)^2))</f>
        <v>35.26</v>
      </c>
      <c r="M35" s="48">
        <f aca="true" t="shared" si="1" ref="M35:M98">L35-L34</f>
        <v>12.6936</v>
      </c>
      <c r="N35" s="20"/>
    </row>
    <row r="36" spans="1:14" s="1" customFormat="1" ht="12.75">
      <c r="A36" s="27">
        <v>3</v>
      </c>
      <c r="B36" s="50">
        <v>0</v>
      </c>
      <c r="C36" s="27">
        <v>3</v>
      </c>
      <c r="D36" s="34">
        <v>0</v>
      </c>
      <c r="E36" s="6">
        <f t="shared" si="0"/>
        <v>105.78</v>
      </c>
      <c r="H36" s="27"/>
      <c r="I36" s="34">
        <v>1</v>
      </c>
      <c r="J36" s="27">
        <v>1</v>
      </c>
      <c r="K36" s="34">
        <v>0</v>
      </c>
      <c r="L36" s="59">
        <f aca="true" t="shared" si="2" ref="L36:L138">(M$27/2)*SQRT(((I36/$G$5)^2)+((J36/$G$6)^2)+((K36/$G$7)^2))</f>
        <v>41.862990922293164</v>
      </c>
      <c r="M36" s="48">
        <f t="shared" si="1"/>
        <v>6.602990922293166</v>
      </c>
      <c r="N36" s="20"/>
    </row>
    <row r="37" spans="1:14" s="1" customFormat="1" ht="12.75">
      <c r="A37" s="27">
        <v>4</v>
      </c>
      <c r="B37" s="50">
        <v>0</v>
      </c>
      <c r="C37" s="34">
        <v>4</v>
      </c>
      <c r="D37" s="34">
        <v>0</v>
      </c>
      <c r="E37" s="6">
        <f t="shared" si="0"/>
        <v>141.04</v>
      </c>
      <c r="H37" s="27"/>
      <c r="I37" s="24">
        <v>2</v>
      </c>
      <c r="J37" s="24">
        <v>0</v>
      </c>
      <c r="K37" s="24">
        <v>0</v>
      </c>
      <c r="L37" s="58">
        <f t="shared" si="2"/>
        <v>45.132799999999996</v>
      </c>
      <c r="M37" s="48">
        <f t="shared" si="1"/>
        <v>3.2698090777068316</v>
      </c>
      <c r="N37" s="20"/>
    </row>
    <row r="38" spans="1:14" s="1" customFormat="1" ht="12.75">
      <c r="A38" s="27">
        <v>5</v>
      </c>
      <c r="B38" s="50">
        <v>0</v>
      </c>
      <c r="C38" s="27">
        <v>5</v>
      </c>
      <c r="D38" s="34">
        <v>0</v>
      </c>
      <c r="E38" s="6">
        <f t="shared" si="0"/>
        <v>176.29999999999998</v>
      </c>
      <c r="H38" s="27"/>
      <c r="I38" s="34">
        <v>2</v>
      </c>
      <c r="J38" s="27">
        <v>1</v>
      </c>
      <c r="K38" s="34">
        <v>0</v>
      </c>
      <c r="L38" s="59">
        <f t="shared" si="2"/>
        <v>57.273355374379804</v>
      </c>
      <c r="M38" s="48">
        <f t="shared" si="1"/>
        <v>12.140555374379808</v>
      </c>
      <c r="N38" s="20"/>
    </row>
    <row r="39" spans="1:14" s="1" customFormat="1" ht="12.75">
      <c r="A39" s="27">
        <v>6</v>
      </c>
      <c r="B39" s="50">
        <v>0</v>
      </c>
      <c r="C39" s="34">
        <v>0</v>
      </c>
      <c r="D39" s="34">
        <v>1</v>
      </c>
      <c r="E39" s="6">
        <f t="shared" si="0"/>
        <v>62.68444444444444</v>
      </c>
      <c r="H39" s="27"/>
      <c r="I39" s="43">
        <v>0</v>
      </c>
      <c r="J39" s="24">
        <v>0</v>
      </c>
      <c r="K39" s="24">
        <v>1</v>
      </c>
      <c r="L39" s="58">
        <f t="shared" si="2"/>
        <v>62.68444444444444</v>
      </c>
      <c r="M39" s="48">
        <f t="shared" si="1"/>
        <v>5.411089070064634</v>
      </c>
      <c r="N39" s="20"/>
    </row>
    <row r="40" spans="1:14" s="1" customFormat="1" ht="12.75">
      <c r="A40" s="27">
        <v>7</v>
      </c>
      <c r="B40" s="50">
        <v>0</v>
      </c>
      <c r="C40" s="27">
        <v>1</v>
      </c>
      <c r="D40" s="27">
        <v>1</v>
      </c>
      <c r="E40" s="6">
        <f t="shared" si="0"/>
        <v>71.92083964546465</v>
      </c>
      <c r="H40" s="27"/>
      <c r="I40" s="34">
        <v>1</v>
      </c>
      <c r="J40" s="34">
        <v>0</v>
      </c>
      <c r="K40" s="34">
        <v>1</v>
      </c>
      <c r="L40" s="59">
        <f t="shared" si="2"/>
        <v>66.62268370659231</v>
      </c>
      <c r="M40" s="48">
        <f t="shared" si="1"/>
        <v>3.9382392621478743</v>
      </c>
      <c r="N40" s="20"/>
    </row>
    <row r="41" spans="1:14" s="1" customFormat="1" ht="12.75">
      <c r="A41" s="27">
        <v>8</v>
      </c>
      <c r="B41" s="50">
        <v>0</v>
      </c>
      <c r="C41" s="34">
        <v>2</v>
      </c>
      <c r="D41" s="27">
        <v>1</v>
      </c>
      <c r="E41" s="6">
        <f t="shared" si="0"/>
        <v>94.35258329960362</v>
      </c>
      <c r="H41" s="27"/>
      <c r="I41" s="1">
        <v>3</v>
      </c>
      <c r="J41" s="24">
        <v>0</v>
      </c>
      <c r="K41" s="24">
        <v>0</v>
      </c>
      <c r="L41" s="58">
        <f t="shared" si="2"/>
        <v>67.69919999999999</v>
      </c>
      <c r="M41" s="48">
        <f t="shared" si="1"/>
        <v>1.0765162934076784</v>
      </c>
      <c r="N41" s="20"/>
    </row>
    <row r="42" spans="1:14" s="1" customFormat="1" ht="12.75">
      <c r="A42" s="27">
        <v>9</v>
      </c>
      <c r="B42" s="50">
        <v>0</v>
      </c>
      <c r="C42" s="27">
        <v>3</v>
      </c>
      <c r="D42" s="27">
        <v>1</v>
      </c>
      <c r="E42" s="6">
        <f t="shared" si="0"/>
        <v>122.9583180403369</v>
      </c>
      <c r="H42" s="27"/>
      <c r="I42" s="43">
        <v>0</v>
      </c>
      <c r="J42" s="24">
        <v>2</v>
      </c>
      <c r="K42" s="24">
        <v>0</v>
      </c>
      <c r="L42" s="58">
        <f>(M$27/2)*SQRT(((I42/$G$5)^2)+((J42/$G$6)^2)+((K42/$G$7)^2))</f>
        <v>70.52</v>
      </c>
      <c r="M42" s="48">
        <f t="shared" si="1"/>
        <v>2.8208000000000055</v>
      </c>
      <c r="N42" s="20"/>
    </row>
    <row r="43" spans="1:14" s="1" customFormat="1" ht="12.75">
      <c r="A43" s="27">
        <v>10</v>
      </c>
      <c r="B43" s="50">
        <v>0</v>
      </c>
      <c r="C43" s="34">
        <v>4</v>
      </c>
      <c r="D43" s="27">
        <v>1</v>
      </c>
      <c r="E43" s="6">
        <f t="shared" si="0"/>
        <v>154.34254492948028</v>
      </c>
      <c r="H43" s="27"/>
      <c r="I43" s="35">
        <v>0</v>
      </c>
      <c r="J43" s="27">
        <v>1</v>
      </c>
      <c r="K43" s="27">
        <v>1</v>
      </c>
      <c r="L43" s="59">
        <f t="shared" si="2"/>
        <v>71.92083964546465</v>
      </c>
      <c r="M43" s="48">
        <f t="shared" si="1"/>
        <v>1.4008396454646572</v>
      </c>
      <c r="N43" s="20"/>
    </row>
    <row r="44" spans="1:14" s="1" customFormat="1" ht="12.75">
      <c r="A44" s="27">
        <v>11</v>
      </c>
      <c r="B44" s="50">
        <v>0</v>
      </c>
      <c r="C44" s="27">
        <v>5</v>
      </c>
      <c r="D44" s="27">
        <v>1</v>
      </c>
      <c r="E44" s="6">
        <f t="shared" si="0"/>
        <v>187.11234479667192</v>
      </c>
      <c r="H44" s="27"/>
      <c r="I44" s="34">
        <v>1</v>
      </c>
      <c r="J44" s="34">
        <v>2</v>
      </c>
      <c r="K44" s="34">
        <v>0</v>
      </c>
      <c r="L44" s="59">
        <f t="shared" si="2"/>
        <v>74.04264182861117</v>
      </c>
      <c r="M44" s="48">
        <f t="shared" si="1"/>
        <v>2.1218021831465137</v>
      </c>
      <c r="N44" s="20"/>
    </row>
    <row r="45" spans="1:14" s="1" customFormat="1" ht="12.75">
      <c r="A45" s="27">
        <v>12</v>
      </c>
      <c r="B45" s="50">
        <v>0</v>
      </c>
      <c r="C45" s="34">
        <v>0</v>
      </c>
      <c r="D45" s="27">
        <v>2</v>
      </c>
      <c r="E45" s="6">
        <f t="shared" si="0"/>
        <v>125.36888888888888</v>
      </c>
      <c r="H45" s="27"/>
      <c r="I45" s="34">
        <v>1</v>
      </c>
      <c r="J45" s="27">
        <v>1</v>
      </c>
      <c r="K45" s="27">
        <v>1</v>
      </c>
      <c r="L45" s="59">
        <f t="shared" si="2"/>
        <v>75.37804444444444</v>
      </c>
      <c r="M45" s="48">
        <f t="shared" si="1"/>
        <v>1.3354026158332744</v>
      </c>
      <c r="N45" s="20"/>
    </row>
    <row r="46" spans="1:14" s="1" customFormat="1" ht="12.75">
      <c r="A46" s="27">
        <v>13</v>
      </c>
      <c r="B46" s="50">
        <v>0</v>
      </c>
      <c r="C46" s="27">
        <v>1</v>
      </c>
      <c r="D46" s="27">
        <v>2</v>
      </c>
      <c r="E46" s="6">
        <f t="shared" si="0"/>
        <v>130.23296779707727</v>
      </c>
      <c r="H46" s="27"/>
      <c r="I46" s="27">
        <v>3</v>
      </c>
      <c r="J46" s="27">
        <v>1</v>
      </c>
      <c r="K46" s="34">
        <v>0</v>
      </c>
      <c r="L46" s="59">
        <f t="shared" si="2"/>
        <v>76.3311815750287</v>
      </c>
      <c r="M46" s="48">
        <f t="shared" si="1"/>
        <v>0.9531371305842526</v>
      </c>
      <c r="N46" s="20"/>
    </row>
    <row r="47" spans="1:14" s="1" customFormat="1" ht="12.75">
      <c r="A47" s="27">
        <v>14</v>
      </c>
      <c r="B47" s="50">
        <v>0</v>
      </c>
      <c r="C47" s="34">
        <v>2</v>
      </c>
      <c r="D47" s="27">
        <v>2</v>
      </c>
      <c r="E47" s="6">
        <f t="shared" si="0"/>
        <v>143.8416792909293</v>
      </c>
      <c r="H47" s="27"/>
      <c r="I47" s="34">
        <v>2</v>
      </c>
      <c r="J47" s="34">
        <v>0</v>
      </c>
      <c r="K47" s="34">
        <v>1</v>
      </c>
      <c r="L47" s="59">
        <f t="shared" si="2"/>
        <v>77.24188767209566</v>
      </c>
      <c r="M47" s="48">
        <f t="shared" si="1"/>
        <v>0.9107060970669636</v>
      </c>
      <c r="N47" s="20"/>
    </row>
    <row r="48" spans="1:14" s="1" customFormat="1" ht="12.75">
      <c r="A48" s="27">
        <v>15</v>
      </c>
      <c r="B48" s="50">
        <v>0</v>
      </c>
      <c r="C48" s="27">
        <v>3</v>
      </c>
      <c r="D48" s="27">
        <v>2</v>
      </c>
      <c r="E48" s="6">
        <f t="shared" si="0"/>
        <v>164.03282202423563</v>
      </c>
      <c r="H48" s="27"/>
      <c r="I48" s="34">
        <v>2</v>
      </c>
      <c r="J48" s="34">
        <v>2</v>
      </c>
      <c r="K48" s="34">
        <v>0</v>
      </c>
      <c r="L48" s="59">
        <f t="shared" si="2"/>
        <v>83.72598184458633</v>
      </c>
      <c r="M48" s="48">
        <f t="shared" si="1"/>
        <v>6.484094172490671</v>
      </c>
      <c r="N48" s="20"/>
    </row>
    <row r="49" spans="1:14" s="1" customFormat="1" ht="12.75">
      <c r="A49" s="27">
        <v>16</v>
      </c>
      <c r="B49" s="50">
        <v>0</v>
      </c>
      <c r="C49" s="34">
        <v>4</v>
      </c>
      <c r="D49" s="27">
        <v>2</v>
      </c>
      <c r="E49" s="6">
        <f t="shared" si="0"/>
        <v>188.70516659920725</v>
      </c>
      <c r="H49" s="27"/>
      <c r="I49" s="34">
        <v>2</v>
      </c>
      <c r="J49" s="27">
        <v>1</v>
      </c>
      <c r="K49" s="27">
        <v>1</v>
      </c>
      <c r="L49" s="59">
        <f t="shared" si="2"/>
        <v>84.9092268905367</v>
      </c>
      <c r="M49" s="48">
        <f t="shared" si="1"/>
        <v>1.1832450459503718</v>
      </c>
      <c r="N49" s="20"/>
    </row>
    <row r="50" spans="1:14" s="1" customFormat="1" ht="12.75">
      <c r="A50" s="27">
        <v>17</v>
      </c>
      <c r="B50" s="50">
        <v>0</v>
      </c>
      <c r="C50" s="27">
        <v>5</v>
      </c>
      <c r="D50" s="27">
        <v>2</v>
      </c>
      <c r="E50" s="6">
        <f t="shared" si="0"/>
        <v>216.33087690210695</v>
      </c>
      <c r="H50" s="27"/>
      <c r="I50" s="1">
        <v>4</v>
      </c>
      <c r="J50" s="24">
        <v>0</v>
      </c>
      <c r="K50" s="24">
        <v>0</v>
      </c>
      <c r="L50" s="58">
        <f t="shared" si="2"/>
        <v>90.26559999999999</v>
      </c>
      <c r="M50" s="48">
        <f t="shared" si="1"/>
        <v>5.356373109463291</v>
      </c>
      <c r="N50" s="20"/>
    </row>
    <row r="51" spans="1:14" s="1" customFormat="1" ht="12.75">
      <c r="A51" s="27">
        <v>18</v>
      </c>
      <c r="B51" s="50">
        <v>0</v>
      </c>
      <c r="C51" s="34">
        <v>0</v>
      </c>
      <c r="D51" s="27">
        <v>3</v>
      </c>
      <c r="E51" s="6">
        <f t="shared" si="0"/>
        <v>188.0533333333333</v>
      </c>
      <c r="H51" s="27"/>
      <c r="I51" s="27">
        <v>3</v>
      </c>
      <c r="J51" s="34">
        <v>0</v>
      </c>
      <c r="K51" s="34">
        <v>1</v>
      </c>
      <c r="L51" s="59">
        <f t="shared" si="2"/>
        <v>92.26332562805571</v>
      </c>
      <c r="M51" s="48">
        <f t="shared" si="1"/>
        <v>1.9977256280557185</v>
      </c>
      <c r="N51" s="20"/>
    </row>
    <row r="52" spans="1:14" s="1" customFormat="1" ht="12.75">
      <c r="A52" s="27">
        <v>19</v>
      </c>
      <c r="B52" s="50">
        <v>0</v>
      </c>
      <c r="C52" s="27">
        <v>1</v>
      </c>
      <c r="D52" s="27">
        <v>3</v>
      </c>
      <c r="E52" s="6">
        <f t="shared" si="0"/>
        <v>191.33040473949188</v>
      </c>
      <c r="H52" s="27"/>
      <c r="I52" s="35">
        <v>0</v>
      </c>
      <c r="J52" s="34">
        <v>2</v>
      </c>
      <c r="K52" s="27">
        <v>1</v>
      </c>
      <c r="L52" s="59">
        <f t="shared" si="2"/>
        <v>94.35258329960362</v>
      </c>
      <c r="M52" s="48">
        <f t="shared" si="1"/>
        <v>2.0892576715479123</v>
      </c>
      <c r="N52" s="20"/>
    </row>
    <row r="53" spans="1:14" s="1" customFormat="1" ht="12.75">
      <c r="A53" s="27">
        <v>20</v>
      </c>
      <c r="B53" s="50">
        <v>0</v>
      </c>
      <c r="C53" s="34">
        <v>2</v>
      </c>
      <c r="D53" s="27">
        <v>3</v>
      </c>
      <c r="E53" s="6">
        <f t="shared" si="0"/>
        <v>200.84104803993074</v>
      </c>
      <c r="H53" s="27"/>
      <c r="I53" s="27">
        <v>4</v>
      </c>
      <c r="J53" s="27">
        <v>1</v>
      </c>
      <c r="K53" s="34">
        <v>0</v>
      </c>
      <c r="L53" s="59">
        <f t="shared" si="2"/>
        <v>96.90792611216071</v>
      </c>
      <c r="M53" s="48">
        <f t="shared" si="1"/>
        <v>2.555342812557086</v>
      </c>
      <c r="N53" s="20"/>
    </row>
    <row r="54" spans="1:14" s="1" customFormat="1" ht="12.75">
      <c r="A54" s="27">
        <v>21</v>
      </c>
      <c r="B54" s="50">
        <v>0</v>
      </c>
      <c r="C54" s="27">
        <v>3</v>
      </c>
      <c r="D54" s="27">
        <v>3</v>
      </c>
      <c r="E54" s="6">
        <f t="shared" si="0"/>
        <v>215.76251893639397</v>
      </c>
      <c r="H54" s="27"/>
      <c r="I54" s="34">
        <v>1</v>
      </c>
      <c r="J54" s="34">
        <v>2</v>
      </c>
      <c r="K54" s="27">
        <v>1</v>
      </c>
      <c r="L54" s="59">
        <f t="shared" si="2"/>
        <v>97.0136711204593</v>
      </c>
      <c r="M54" s="48">
        <f t="shared" si="1"/>
        <v>0.10574500829859801</v>
      </c>
      <c r="N54" s="20"/>
    </row>
    <row r="55" spans="1:14" s="1" customFormat="1" ht="12.75">
      <c r="A55" s="27">
        <v>22</v>
      </c>
      <c r="B55" s="50">
        <v>0</v>
      </c>
      <c r="C55" s="34">
        <v>4</v>
      </c>
      <c r="D55" s="27">
        <v>3</v>
      </c>
      <c r="E55" s="6">
        <f t="shared" si="0"/>
        <v>235.06666666666666</v>
      </c>
      <c r="H55" s="27"/>
      <c r="I55" s="27">
        <v>3</v>
      </c>
      <c r="J55" s="34">
        <v>2</v>
      </c>
      <c r="K55" s="34">
        <v>0</v>
      </c>
      <c r="L55" s="59">
        <f t="shared" si="2"/>
        <v>97.75608462208375</v>
      </c>
      <c r="M55" s="48">
        <f t="shared" si="1"/>
        <v>0.7424135016244406</v>
      </c>
      <c r="N55" s="20"/>
    </row>
    <row r="56" spans="1:14" s="1" customFormat="1" ht="12.75">
      <c r="A56" s="27">
        <v>23</v>
      </c>
      <c r="B56" s="50">
        <v>0</v>
      </c>
      <c r="C56" s="27">
        <v>5</v>
      </c>
      <c r="D56" s="27">
        <v>3</v>
      </c>
      <c r="E56" s="6">
        <f t="shared" si="0"/>
        <v>257.77072405100193</v>
      </c>
      <c r="H56" s="27"/>
      <c r="I56" s="27">
        <v>3</v>
      </c>
      <c r="J56" s="27">
        <v>1</v>
      </c>
      <c r="K56" s="27">
        <v>1</v>
      </c>
      <c r="L56" s="59">
        <f t="shared" si="2"/>
        <v>98.77139695250159</v>
      </c>
      <c r="M56" s="48">
        <f t="shared" si="1"/>
        <v>1.0153123304178422</v>
      </c>
      <c r="N56" s="20"/>
    </row>
    <row r="57" spans="1:14" s="1" customFormat="1" ht="12.75">
      <c r="A57" s="27">
        <v>24</v>
      </c>
      <c r="B57" s="50">
        <v>0</v>
      </c>
      <c r="C57" s="34">
        <v>0</v>
      </c>
      <c r="D57" s="27">
        <v>4</v>
      </c>
      <c r="E57" s="6">
        <f t="shared" si="0"/>
        <v>250.73777777777775</v>
      </c>
      <c r="H57" s="27"/>
      <c r="I57" s="34">
        <v>2</v>
      </c>
      <c r="J57" s="34">
        <v>2</v>
      </c>
      <c r="K57" s="27">
        <v>1</v>
      </c>
      <c r="L57" s="59">
        <f t="shared" si="2"/>
        <v>104.59148919079716</v>
      </c>
      <c r="M57" s="48">
        <f t="shared" si="1"/>
        <v>5.820092238295572</v>
      </c>
      <c r="N57" s="20"/>
    </row>
    <row r="58" spans="1:14" s="1" customFormat="1" ht="12.75">
      <c r="A58" s="27">
        <v>25</v>
      </c>
      <c r="B58" s="50">
        <v>0</v>
      </c>
      <c r="C58" s="27">
        <v>1</v>
      </c>
      <c r="D58" s="27">
        <v>4</v>
      </c>
      <c r="E58" s="6">
        <f t="shared" si="0"/>
        <v>253.2048593628058</v>
      </c>
      <c r="H58" s="27"/>
      <c r="I58" s="43">
        <v>0</v>
      </c>
      <c r="J58" s="1">
        <v>3</v>
      </c>
      <c r="K58" s="24">
        <v>0</v>
      </c>
      <c r="L58" s="58">
        <f t="shared" si="2"/>
        <v>105.78</v>
      </c>
      <c r="M58" s="48">
        <f t="shared" si="1"/>
        <v>1.188510809202839</v>
      </c>
      <c r="N58" s="20"/>
    </row>
    <row r="59" spans="1:14" s="1" customFormat="1" ht="12.75">
      <c r="A59" s="27">
        <v>26</v>
      </c>
      <c r="B59" s="50">
        <v>0</v>
      </c>
      <c r="C59" s="34">
        <v>2</v>
      </c>
      <c r="D59" s="27">
        <v>4</v>
      </c>
      <c r="E59" s="6">
        <f t="shared" si="0"/>
        <v>260.46593559415453</v>
      </c>
      <c r="H59" s="27"/>
      <c r="I59" s="34">
        <v>1</v>
      </c>
      <c r="J59" s="27">
        <v>3</v>
      </c>
      <c r="K59" s="34">
        <v>0</v>
      </c>
      <c r="L59" s="59">
        <f t="shared" si="2"/>
        <v>108.16030144632548</v>
      </c>
      <c r="M59" s="48">
        <f t="shared" si="1"/>
        <v>2.3803014463254755</v>
      </c>
      <c r="N59" s="20"/>
    </row>
    <row r="60" spans="1:14" s="1" customFormat="1" ht="12.75">
      <c r="A60" s="27">
        <v>27</v>
      </c>
      <c r="B60" s="50">
        <v>0</v>
      </c>
      <c r="C60" s="27">
        <v>3</v>
      </c>
      <c r="D60" s="27">
        <v>4</v>
      </c>
      <c r="E60" s="6">
        <f t="shared" si="0"/>
        <v>272.13754170444446</v>
      </c>
      <c r="H60" s="27"/>
      <c r="I60" s="27">
        <v>4</v>
      </c>
      <c r="J60" s="34">
        <v>0</v>
      </c>
      <c r="K60" s="34">
        <v>1</v>
      </c>
      <c r="L60" s="59">
        <f t="shared" si="2"/>
        <v>109.89639720513425</v>
      </c>
      <c r="M60" s="48">
        <f t="shared" si="1"/>
        <v>1.7360957588087729</v>
      </c>
      <c r="N60" s="20"/>
    </row>
    <row r="61" spans="1:14" s="1" customFormat="1" ht="12.75">
      <c r="A61" s="27">
        <v>28</v>
      </c>
      <c r="B61" s="50">
        <v>0</v>
      </c>
      <c r="C61" s="34">
        <v>4</v>
      </c>
      <c r="D61" s="27">
        <v>4</v>
      </c>
      <c r="E61" s="6">
        <f t="shared" si="0"/>
        <v>287.6833585818586</v>
      </c>
      <c r="H61" s="27"/>
      <c r="I61" s="1">
        <v>5</v>
      </c>
      <c r="J61" s="24">
        <v>0</v>
      </c>
      <c r="K61" s="24">
        <v>0</v>
      </c>
      <c r="L61" s="58">
        <f>(M$27/2)*SQRT(((I61/$G$5)^2)+((J61/$G$6)^2)+((K61/$G$7)^2))</f>
        <v>112.832</v>
      </c>
      <c r="M61" s="48">
        <f t="shared" si="1"/>
        <v>2.935602794865744</v>
      </c>
      <c r="N61" s="20"/>
    </row>
    <row r="62" spans="1:14" s="1" customFormat="1" ht="12.75">
      <c r="A62" s="27">
        <v>29</v>
      </c>
      <c r="B62" s="50">
        <v>0</v>
      </c>
      <c r="C62" s="27">
        <v>5</v>
      </c>
      <c r="D62" s="27">
        <v>4</v>
      </c>
      <c r="E62" s="6">
        <f t="shared" si="0"/>
        <v>306.51447470704915</v>
      </c>
      <c r="H62" s="27"/>
      <c r="I62" s="27">
        <v>4</v>
      </c>
      <c r="J62" s="34">
        <v>2</v>
      </c>
      <c r="K62" s="34">
        <v>0</v>
      </c>
      <c r="L62" s="59">
        <f t="shared" si="2"/>
        <v>114.54671074875961</v>
      </c>
      <c r="M62" s="48">
        <f t="shared" si="1"/>
        <v>1.7147107487596145</v>
      </c>
      <c r="N62" s="20"/>
    </row>
    <row r="63" spans="1:14" s="1" customFormat="1" ht="12.75">
      <c r="A63" s="27">
        <v>30</v>
      </c>
      <c r="B63" s="50">
        <v>0</v>
      </c>
      <c r="C63" s="34">
        <v>0</v>
      </c>
      <c r="D63" s="27">
        <v>5</v>
      </c>
      <c r="E63" s="6">
        <f t="shared" si="0"/>
        <v>313.4222222222222</v>
      </c>
      <c r="H63" s="27"/>
      <c r="I63" s="34">
        <v>2</v>
      </c>
      <c r="J63" s="27">
        <v>3</v>
      </c>
      <c r="K63" s="34">
        <v>0</v>
      </c>
      <c r="L63" s="59">
        <f t="shared" si="2"/>
        <v>115.00599130410554</v>
      </c>
      <c r="M63" s="48">
        <f t="shared" si="1"/>
        <v>0.45928055534592716</v>
      </c>
      <c r="N63" s="20"/>
    </row>
    <row r="64" spans="1:14" s="1" customFormat="1" ht="12.75">
      <c r="A64" s="27">
        <v>31</v>
      </c>
      <c r="B64" s="50">
        <v>0</v>
      </c>
      <c r="C64" s="27">
        <v>1</v>
      </c>
      <c r="D64" s="27">
        <v>5</v>
      </c>
      <c r="E64" s="6">
        <f t="shared" si="0"/>
        <v>315.3993611006783</v>
      </c>
      <c r="H64" s="27"/>
      <c r="I64" s="27">
        <v>4</v>
      </c>
      <c r="J64" s="27">
        <v>1</v>
      </c>
      <c r="K64" s="27">
        <v>1</v>
      </c>
      <c r="L64" s="59">
        <f t="shared" si="2"/>
        <v>115.41440862677692</v>
      </c>
      <c r="M64" s="48">
        <f t="shared" si="1"/>
        <v>0.408417322671383</v>
      </c>
      <c r="N64" s="20"/>
    </row>
    <row r="65" spans="1:14" s="1" customFormat="1" ht="12.75">
      <c r="A65" s="27">
        <v>32</v>
      </c>
      <c r="B65" s="50">
        <v>0</v>
      </c>
      <c r="C65" s="34">
        <v>2</v>
      </c>
      <c r="D65" s="27">
        <v>5</v>
      </c>
      <c r="E65" s="6">
        <f t="shared" si="0"/>
        <v>321.2577777777778</v>
      </c>
      <c r="H65" s="27"/>
      <c r="I65" s="27">
        <v>3</v>
      </c>
      <c r="J65" s="34">
        <v>2</v>
      </c>
      <c r="K65" s="27">
        <v>1</v>
      </c>
      <c r="L65" s="59">
        <f t="shared" si="2"/>
        <v>116.12748019288388</v>
      </c>
      <c r="M65" s="48">
        <f t="shared" si="1"/>
        <v>0.7130715661069615</v>
      </c>
      <c r="N65" s="20"/>
    </row>
    <row r="66" spans="1:14" s="1" customFormat="1" ht="12.75">
      <c r="A66" s="27">
        <v>33</v>
      </c>
      <c r="B66" s="50">
        <v>0</v>
      </c>
      <c r="C66" s="27">
        <v>3</v>
      </c>
      <c r="D66" s="27">
        <v>5</v>
      </c>
      <c r="E66" s="6">
        <f t="shared" si="0"/>
        <v>330.7913205976179</v>
      </c>
      <c r="H66" s="27"/>
      <c r="I66" s="27">
        <v>5</v>
      </c>
      <c r="J66" s="27">
        <v>1</v>
      </c>
      <c r="K66" s="34">
        <v>0</v>
      </c>
      <c r="L66" s="59">
        <f>(M$27/2)*SQRT(((I66/$G$5)^2)+((J66/$G$6)^2)+((K66/$G$7)^2))</f>
        <v>118.21306113962197</v>
      </c>
      <c r="M66" s="48">
        <f t="shared" si="1"/>
        <v>2.085580946738091</v>
      </c>
      <c r="N66" s="20"/>
    </row>
    <row r="67" spans="1:14" s="1" customFormat="1" ht="12.75">
      <c r="A67" s="27">
        <v>34</v>
      </c>
      <c r="B67" s="50">
        <v>0</v>
      </c>
      <c r="C67" s="34">
        <v>4</v>
      </c>
      <c r="D67" s="27">
        <v>5</v>
      </c>
      <c r="E67" s="6">
        <f t="shared" si="0"/>
        <v>343.69429873466925</v>
      </c>
      <c r="H67" s="27"/>
      <c r="I67" s="35">
        <v>0</v>
      </c>
      <c r="J67" s="27">
        <v>3</v>
      </c>
      <c r="K67" s="27">
        <v>1</v>
      </c>
      <c r="L67" s="59">
        <f t="shared" si="2"/>
        <v>122.9583180403369</v>
      </c>
      <c r="M67" s="48">
        <f t="shared" si="1"/>
        <v>4.745256900714935</v>
      </c>
      <c r="N67" s="20"/>
    </row>
    <row r="68" spans="1:14" s="1" customFormat="1" ht="12.75">
      <c r="A68" s="27">
        <v>35</v>
      </c>
      <c r="B68" s="50">
        <v>0</v>
      </c>
      <c r="C68" s="27">
        <v>5</v>
      </c>
      <c r="D68" s="27">
        <v>5</v>
      </c>
      <c r="E68" s="6">
        <f t="shared" si="0"/>
        <v>359.6041982273233</v>
      </c>
      <c r="H68" s="27"/>
      <c r="I68" s="34">
        <v>1</v>
      </c>
      <c r="J68" s="27">
        <v>3</v>
      </c>
      <c r="K68" s="27">
        <v>1</v>
      </c>
      <c r="L68" s="59">
        <f t="shared" si="2"/>
        <v>125.01196096481584</v>
      </c>
      <c r="M68" s="48">
        <f t="shared" si="1"/>
        <v>2.053642924478936</v>
      </c>
      <c r="N68" s="20"/>
    </row>
    <row r="69" spans="1:14" ht="12.75">
      <c r="A69" s="27">
        <v>36</v>
      </c>
      <c r="B69" s="25">
        <v>1</v>
      </c>
      <c r="C69" s="34">
        <v>0</v>
      </c>
      <c r="D69" s="34">
        <v>0</v>
      </c>
      <c r="E69" s="6">
        <f t="shared" si="0"/>
        <v>22.566399999999998</v>
      </c>
      <c r="H69" s="27"/>
      <c r="I69" s="43">
        <v>0</v>
      </c>
      <c r="J69" s="24">
        <v>0</v>
      </c>
      <c r="K69" s="1">
        <v>2</v>
      </c>
      <c r="L69" s="58">
        <f t="shared" si="2"/>
        <v>125.36888888888888</v>
      </c>
      <c r="M69" s="48">
        <f t="shared" si="1"/>
        <v>0.35692792407303386</v>
      </c>
      <c r="N69" s="20"/>
    </row>
    <row r="70" spans="1:14" ht="12.75">
      <c r="A70" s="27">
        <v>37</v>
      </c>
      <c r="B70" s="25">
        <v>1</v>
      </c>
      <c r="C70" s="27">
        <v>1</v>
      </c>
      <c r="D70" s="34">
        <v>0</v>
      </c>
      <c r="E70" s="6">
        <f t="shared" si="0"/>
        <v>41.862990922293164</v>
      </c>
      <c r="H70" s="27"/>
      <c r="I70" s="27">
        <v>3</v>
      </c>
      <c r="J70" s="27">
        <v>3</v>
      </c>
      <c r="K70" s="34">
        <v>0</v>
      </c>
      <c r="L70" s="59">
        <f t="shared" si="2"/>
        <v>125.5889727668795</v>
      </c>
      <c r="M70" s="48">
        <f t="shared" si="1"/>
        <v>0.2200838779906178</v>
      </c>
      <c r="N70" s="20"/>
    </row>
    <row r="71" spans="1:14" ht="12.75">
      <c r="A71" s="27">
        <v>38</v>
      </c>
      <c r="B71" s="25">
        <v>1</v>
      </c>
      <c r="C71" s="34">
        <v>2</v>
      </c>
      <c r="D71" s="34">
        <v>0</v>
      </c>
      <c r="E71" s="6">
        <f t="shared" si="0"/>
        <v>74.04264182861117</v>
      </c>
      <c r="H71" s="27"/>
      <c r="I71" s="34">
        <v>1</v>
      </c>
      <c r="J71" s="34">
        <v>0</v>
      </c>
      <c r="K71" s="27">
        <v>2</v>
      </c>
      <c r="L71" s="59">
        <f t="shared" si="2"/>
        <v>127.38367521073712</v>
      </c>
      <c r="M71" s="48">
        <f t="shared" si="1"/>
        <v>1.7947024438576307</v>
      </c>
      <c r="N71" s="20"/>
    </row>
    <row r="72" spans="1:14" ht="12.75">
      <c r="A72" s="27">
        <v>39</v>
      </c>
      <c r="B72" s="25">
        <v>1</v>
      </c>
      <c r="C72" s="27">
        <v>3</v>
      </c>
      <c r="D72" s="34">
        <v>0</v>
      </c>
      <c r="E72" s="6">
        <f t="shared" si="0"/>
        <v>108.16030144632548</v>
      </c>
      <c r="H72" s="27"/>
      <c r="I72" s="27">
        <v>5</v>
      </c>
      <c r="J72" s="34">
        <v>0</v>
      </c>
      <c r="K72" s="34">
        <v>1</v>
      </c>
      <c r="L72" s="59">
        <f>(M$27/2)*SQRT(((I72/$G$5)^2)+((J72/$G$6)^2)+((K72/$G$7)^2))</f>
        <v>129.07517111864948</v>
      </c>
      <c r="M72" s="48">
        <f t="shared" si="1"/>
        <v>1.6914959079123548</v>
      </c>
      <c r="N72" s="20"/>
    </row>
    <row r="73" spans="1:14" ht="12.75">
      <c r="A73" s="27">
        <v>40</v>
      </c>
      <c r="B73" s="25">
        <v>1</v>
      </c>
      <c r="C73" s="34">
        <v>4</v>
      </c>
      <c r="D73" s="34">
        <v>0</v>
      </c>
      <c r="E73" s="6">
        <f t="shared" si="0"/>
        <v>142.83390356970574</v>
      </c>
      <c r="H73" s="27"/>
      <c r="I73" s="35">
        <v>0</v>
      </c>
      <c r="J73" s="27">
        <v>1</v>
      </c>
      <c r="K73" s="27">
        <v>2</v>
      </c>
      <c r="L73" s="59">
        <f t="shared" si="2"/>
        <v>130.23296779707727</v>
      </c>
      <c r="M73" s="48">
        <f t="shared" si="1"/>
        <v>1.1577966784277862</v>
      </c>
      <c r="N73" s="20"/>
    </row>
    <row r="74" spans="1:14" ht="12.75">
      <c r="A74" s="27">
        <v>41</v>
      </c>
      <c r="B74" s="25">
        <v>1</v>
      </c>
      <c r="C74" s="27">
        <v>5</v>
      </c>
      <c r="D74" s="34">
        <v>0</v>
      </c>
      <c r="E74" s="6">
        <f t="shared" si="0"/>
        <v>177.73838192399523</v>
      </c>
      <c r="H74" s="27"/>
      <c r="I74" s="27">
        <v>4</v>
      </c>
      <c r="J74" s="34">
        <v>2</v>
      </c>
      <c r="K74" s="27">
        <v>1</v>
      </c>
      <c r="L74" s="59">
        <f t="shared" si="2"/>
        <v>130.5767533624138</v>
      </c>
      <c r="M74" s="48">
        <f t="shared" si="1"/>
        <v>0.3437855653365318</v>
      </c>
      <c r="N74" s="20"/>
    </row>
    <row r="75" spans="1:14" ht="12.75">
      <c r="A75" s="27">
        <v>42</v>
      </c>
      <c r="B75" s="25">
        <v>1</v>
      </c>
      <c r="C75" s="34">
        <v>0</v>
      </c>
      <c r="D75" s="34">
        <v>1</v>
      </c>
      <c r="E75" s="6">
        <f t="shared" si="0"/>
        <v>66.62268370659231</v>
      </c>
      <c r="H75" s="27"/>
      <c r="I75" s="34">
        <v>2</v>
      </c>
      <c r="J75" s="27">
        <v>3</v>
      </c>
      <c r="K75" s="27">
        <v>1</v>
      </c>
      <c r="L75" s="59">
        <f t="shared" si="2"/>
        <v>130.979836658734</v>
      </c>
      <c r="M75" s="48">
        <f t="shared" si="1"/>
        <v>0.40308329632020445</v>
      </c>
      <c r="N75" s="20"/>
    </row>
    <row r="76" spans="1:14" ht="12.75">
      <c r="A76" s="27">
        <v>43</v>
      </c>
      <c r="B76" s="25">
        <v>1</v>
      </c>
      <c r="C76" s="27">
        <v>1</v>
      </c>
      <c r="D76" s="27">
        <v>1</v>
      </c>
      <c r="E76" s="6">
        <f t="shared" si="0"/>
        <v>75.37804444444444</v>
      </c>
      <c r="H76" s="27"/>
      <c r="I76" s="34">
        <v>1</v>
      </c>
      <c r="J76" s="27">
        <v>1</v>
      </c>
      <c r="K76" s="27">
        <v>2</v>
      </c>
      <c r="L76" s="59">
        <f t="shared" si="2"/>
        <v>132.1736294053945</v>
      </c>
      <c r="M76" s="48">
        <f t="shared" si="1"/>
        <v>1.193792746660506</v>
      </c>
      <c r="N76" s="20"/>
    </row>
    <row r="77" spans="1:14" ht="12.75">
      <c r="A77" s="27">
        <v>44</v>
      </c>
      <c r="B77" s="25">
        <v>1</v>
      </c>
      <c r="C77" s="34">
        <v>2</v>
      </c>
      <c r="D77" s="27">
        <v>1</v>
      </c>
      <c r="E77" s="6">
        <f t="shared" si="0"/>
        <v>97.0136711204593</v>
      </c>
      <c r="H77" s="27"/>
      <c r="I77" s="27">
        <v>5</v>
      </c>
      <c r="J77" s="34">
        <v>2</v>
      </c>
      <c r="K77" s="34">
        <v>0</v>
      </c>
      <c r="L77" s="59">
        <f>(M$27/2)*SQRT(((I77/$G$5)^2)+((J77/$G$6)^2)+((K77/$G$7)^2))</f>
        <v>133.05686988652636</v>
      </c>
      <c r="M77" s="48">
        <f t="shared" si="1"/>
        <v>0.8832404811318497</v>
      </c>
      <c r="N77" s="20"/>
    </row>
    <row r="78" spans="1:14" ht="12.75">
      <c r="A78" s="27">
        <v>45</v>
      </c>
      <c r="B78" s="25">
        <v>1</v>
      </c>
      <c r="C78" s="27">
        <v>3</v>
      </c>
      <c r="D78" s="27">
        <v>1</v>
      </c>
      <c r="E78" s="6">
        <f t="shared" si="0"/>
        <v>125.01196096481584</v>
      </c>
      <c r="H78" s="27"/>
      <c r="I78" s="34">
        <v>2</v>
      </c>
      <c r="J78" s="34">
        <v>0</v>
      </c>
      <c r="K78" s="27">
        <v>2</v>
      </c>
      <c r="L78" s="59">
        <f t="shared" si="2"/>
        <v>133.24536741318462</v>
      </c>
      <c r="M78" s="48">
        <f t="shared" si="1"/>
        <v>0.18849752665826713</v>
      </c>
      <c r="N78" s="20"/>
    </row>
    <row r="79" spans="1:14" ht="12.75">
      <c r="A79" s="27">
        <v>46</v>
      </c>
      <c r="B79" s="25">
        <v>1</v>
      </c>
      <c r="C79" s="34">
        <v>4</v>
      </c>
      <c r="D79" s="27">
        <v>1</v>
      </c>
      <c r="E79" s="6">
        <f t="shared" si="0"/>
        <v>155.983536260301</v>
      </c>
      <c r="H79" s="27"/>
      <c r="I79" s="27">
        <v>5</v>
      </c>
      <c r="J79" s="27">
        <v>1</v>
      </c>
      <c r="K79" s="27">
        <v>1</v>
      </c>
      <c r="L79" s="59">
        <f>(M$27/2)*SQRT(((I79/$G$5)^2)+((J79/$G$6)^2)+((K79/$G$7)^2))</f>
        <v>133.8045866153647</v>
      </c>
      <c r="M79" s="48">
        <f t="shared" si="1"/>
        <v>0.5592192021800884</v>
      </c>
      <c r="N79" s="20"/>
    </row>
    <row r="80" spans="1:14" ht="12.75">
      <c r="A80" s="27">
        <v>47</v>
      </c>
      <c r="B80" s="25">
        <v>1</v>
      </c>
      <c r="C80" s="27">
        <v>5</v>
      </c>
      <c r="D80" s="27">
        <v>1</v>
      </c>
      <c r="E80" s="6">
        <f t="shared" si="0"/>
        <v>188.46822539693167</v>
      </c>
      <c r="H80" s="27"/>
      <c r="I80" s="34">
        <v>2</v>
      </c>
      <c r="J80" s="27">
        <v>1</v>
      </c>
      <c r="K80" s="27">
        <v>2</v>
      </c>
      <c r="L80" s="59">
        <f t="shared" si="2"/>
        <v>137.83176534121068</v>
      </c>
      <c r="M80" s="48">
        <f t="shared" si="1"/>
        <v>4.027178725845971</v>
      </c>
      <c r="N80" s="20"/>
    </row>
    <row r="81" spans="1:14" ht="12.75">
      <c r="A81" s="27">
        <v>48</v>
      </c>
      <c r="B81" s="25">
        <v>1</v>
      </c>
      <c r="C81" s="34">
        <v>0</v>
      </c>
      <c r="D81" s="27">
        <v>2</v>
      </c>
      <c r="E81" s="6">
        <f t="shared" si="0"/>
        <v>127.38367521073712</v>
      </c>
      <c r="H81" s="27"/>
      <c r="I81" s="27">
        <v>4</v>
      </c>
      <c r="J81" s="27">
        <v>3</v>
      </c>
      <c r="K81" s="34">
        <v>0</v>
      </c>
      <c r="L81" s="59">
        <f>(M$27/2)*SQRT(((I81/$G$5)^2)+((J81/$G$6)^2)+((K81/$G$7)^2))</f>
        <v>139.0585737858691</v>
      </c>
      <c r="M81" s="48">
        <f t="shared" si="1"/>
        <v>1.2268084446584169</v>
      </c>
      <c r="N81" s="20"/>
    </row>
    <row r="82" spans="1:14" ht="12.75">
      <c r="A82" s="27">
        <v>49</v>
      </c>
      <c r="B82" s="25">
        <v>1</v>
      </c>
      <c r="C82" s="27">
        <v>1</v>
      </c>
      <c r="D82" s="27">
        <v>2</v>
      </c>
      <c r="E82" s="6">
        <f t="shared" si="0"/>
        <v>132.1736294053945</v>
      </c>
      <c r="H82" s="27"/>
      <c r="I82" s="27">
        <v>3</v>
      </c>
      <c r="J82" s="27">
        <v>3</v>
      </c>
      <c r="K82" s="27">
        <v>1</v>
      </c>
      <c r="L82" s="59">
        <f t="shared" si="2"/>
        <v>140.3635624225484</v>
      </c>
      <c r="M82" s="48">
        <f t="shared" si="1"/>
        <v>1.3049886366792975</v>
      </c>
      <c r="N82" s="20"/>
    </row>
    <row r="83" spans="1:14" ht="12.75">
      <c r="A83" s="27">
        <v>50</v>
      </c>
      <c r="B83" s="25">
        <v>1</v>
      </c>
      <c r="C83" s="34">
        <v>2</v>
      </c>
      <c r="D83" s="27">
        <v>2</v>
      </c>
      <c r="E83" s="6">
        <f t="shared" si="0"/>
        <v>145.60106836900124</v>
      </c>
      <c r="H83" s="27"/>
      <c r="I83" s="43">
        <v>0</v>
      </c>
      <c r="J83" s="24">
        <v>4</v>
      </c>
      <c r="K83" s="24">
        <v>0</v>
      </c>
      <c r="L83" s="58">
        <f t="shared" si="2"/>
        <v>141.04</v>
      </c>
      <c r="M83" s="48">
        <f t="shared" si="1"/>
        <v>0.676437577451594</v>
      </c>
      <c r="N83" s="20"/>
    </row>
    <row r="84" spans="1:14" ht="12.75">
      <c r="A84" s="27">
        <v>51</v>
      </c>
      <c r="B84" s="25">
        <v>1</v>
      </c>
      <c r="C84" s="27">
        <v>3</v>
      </c>
      <c r="D84" s="27">
        <v>2</v>
      </c>
      <c r="E84" s="6">
        <f t="shared" si="0"/>
        <v>165.57780379686932</v>
      </c>
      <c r="H84" s="27"/>
      <c r="I84" s="27">
        <v>3</v>
      </c>
      <c r="J84" s="34">
        <v>0</v>
      </c>
      <c r="K84" s="27">
        <v>2</v>
      </c>
      <c r="L84" s="59">
        <f t="shared" si="2"/>
        <v>142.479963440038</v>
      </c>
      <c r="M84" s="48">
        <f t="shared" si="1"/>
        <v>1.4399634400380137</v>
      </c>
      <c r="N84" s="20"/>
    </row>
    <row r="85" spans="1:14" ht="12.75">
      <c r="A85" s="27">
        <v>52</v>
      </c>
      <c r="B85" s="25">
        <v>1</v>
      </c>
      <c r="C85" s="34">
        <v>4</v>
      </c>
      <c r="D85" s="27">
        <v>2</v>
      </c>
      <c r="E85" s="6">
        <f t="shared" si="0"/>
        <v>190.04968379398733</v>
      </c>
      <c r="H85" s="27"/>
      <c r="I85" s="34">
        <v>1</v>
      </c>
      <c r="J85" s="34">
        <v>4</v>
      </c>
      <c r="K85" s="34">
        <v>0</v>
      </c>
      <c r="L85" s="59">
        <f t="shared" si="2"/>
        <v>142.83390356970574</v>
      </c>
      <c r="M85" s="48">
        <f t="shared" si="1"/>
        <v>0.353940129667734</v>
      </c>
      <c r="N85" s="20"/>
    </row>
    <row r="86" spans="1:14" ht="12.75">
      <c r="A86" s="27">
        <v>53</v>
      </c>
      <c r="B86" s="25">
        <v>1</v>
      </c>
      <c r="C86" s="27">
        <v>5</v>
      </c>
      <c r="D86" s="27">
        <v>2</v>
      </c>
      <c r="E86" s="6">
        <f t="shared" si="0"/>
        <v>217.50469123721115</v>
      </c>
      <c r="H86" s="27"/>
      <c r="I86" s="35">
        <v>0</v>
      </c>
      <c r="J86" s="34">
        <v>2</v>
      </c>
      <c r="K86" s="27">
        <v>2</v>
      </c>
      <c r="L86" s="59">
        <f t="shared" si="2"/>
        <v>143.8416792909293</v>
      </c>
      <c r="M86" s="48">
        <f t="shared" si="1"/>
        <v>1.0077757212235667</v>
      </c>
      <c r="N86" s="20"/>
    </row>
    <row r="87" spans="1:14" ht="12.75">
      <c r="A87" s="27">
        <v>54</v>
      </c>
      <c r="B87" s="25">
        <v>1</v>
      </c>
      <c r="C87" s="34">
        <v>0</v>
      </c>
      <c r="D87" s="27">
        <v>3</v>
      </c>
      <c r="E87" s="6">
        <f t="shared" si="0"/>
        <v>189.40247777349106</v>
      </c>
      <c r="H87" s="27"/>
      <c r="I87" s="34">
        <v>1</v>
      </c>
      <c r="J87" s="34">
        <v>2</v>
      </c>
      <c r="K87" s="27">
        <v>2</v>
      </c>
      <c r="L87" s="59">
        <f t="shared" si="2"/>
        <v>145.60106836900124</v>
      </c>
      <c r="M87" s="48">
        <f t="shared" si="1"/>
        <v>1.7593890780719335</v>
      </c>
      <c r="N87" s="20"/>
    </row>
    <row r="88" spans="1:14" ht="12.75">
      <c r="A88" s="27">
        <v>55</v>
      </c>
      <c r="B88" s="25">
        <v>1</v>
      </c>
      <c r="C88" s="27">
        <v>1</v>
      </c>
      <c r="D88" s="27">
        <v>3</v>
      </c>
      <c r="E88" s="6">
        <f t="shared" si="0"/>
        <v>192.65660172113948</v>
      </c>
      <c r="H88" s="27"/>
      <c r="I88" s="27">
        <v>3</v>
      </c>
      <c r="J88" s="27">
        <v>1</v>
      </c>
      <c r="K88" s="27">
        <v>2</v>
      </c>
      <c r="L88" s="59">
        <f t="shared" si="2"/>
        <v>146.7780895838155</v>
      </c>
      <c r="M88" s="48">
        <f t="shared" si="1"/>
        <v>1.1770212148142605</v>
      </c>
      <c r="N88" s="20"/>
    </row>
    <row r="89" spans="1:14" ht="12.75">
      <c r="A89" s="27">
        <v>56</v>
      </c>
      <c r="B89" s="25">
        <v>1</v>
      </c>
      <c r="C89" s="34">
        <v>2</v>
      </c>
      <c r="D89" s="27">
        <v>3</v>
      </c>
      <c r="E89" s="6">
        <f t="shared" si="0"/>
        <v>202.10484651966607</v>
      </c>
      <c r="H89" s="27"/>
      <c r="I89" s="27">
        <v>5</v>
      </c>
      <c r="J89" s="34">
        <v>2</v>
      </c>
      <c r="K89" s="27">
        <v>1</v>
      </c>
      <c r="L89" s="59">
        <f>(M$27/2)*SQRT(((I89/$G$5)^2)+((J89/$G$6)^2)+((K89/$G$7)^2))</f>
        <v>147.08320842063733</v>
      </c>
      <c r="M89" s="48">
        <f t="shared" si="1"/>
        <v>0.3051188368218334</v>
      </c>
      <c r="N89" s="20"/>
    </row>
    <row r="90" spans="1:14" ht="12.75">
      <c r="A90" s="27">
        <v>57</v>
      </c>
      <c r="B90" s="25">
        <v>1</v>
      </c>
      <c r="C90" s="27">
        <v>3</v>
      </c>
      <c r="D90" s="27">
        <v>3</v>
      </c>
      <c r="E90" s="6">
        <f t="shared" si="0"/>
        <v>216.93940856086468</v>
      </c>
      <c r="H90" s="27"/>
      <c r="I90" s="34">
        <v>2</v>
      </c>
      <c r="J90" s="34">
        <v>4</v>
      </c>
      <c r="K90" s="34">
        <v>0</v>
      </c>
      <c r="L90" s="59">
        <f>(M$27/2)*SQRT(((I90/$G$5)^2)+((J90/$G$6)^2)+((K90/$G$7)^2))</f>
        <v>148.08528365722233</v>
      </c>
      <c r="M90" s="48">
        <f t="shared" si="1"/>
        <v>1.002075236585</v>
      </c>
      <c r="N90" s="20"/>
    </row>
    <row r="91" spans="1:14" ht="12.75">
      <c r="A91" s="27">
        <v>58</v>
      </c>
      <c r="B91" s="25">
        <v>1</v>
      </c>
      <c r="C91" s="34">
        <v>4</v>
      </c>
      <c r="D91" s="27">
        <v>3</v>
      </c>
      <c r="E91" s="6">
        <f t="shared" si="0"/>
        <v>236.14736963755868</v>
      </c>
      <c r="H91" s="27"/>
      <c r="I91" s="34">
        <v>2</v>
      </c>
      <c r="J91" s="34">
        <v>2</v>
      </c>
      <c r="K91" s="27">
        <v>2</v>
      </c>
      <c r="L91" s="59">
        <f t="shared" si="2"/>
        <v>150.75608888888888</v>
      </c>
      <c r="M91" s="48">
        <f t="shared" si="1"/>
        <v>2.6708052316665487</v>
      </c>
      <c r="N91" s="20"/>
    </row>
    <row r="92" spans="1:14" ht="12.75">
      <c r="A92" s="27">
        <v>59</v>
      </c>
      <c r="B92" s="25">
        <v>1</v>
      </c>
      <c r="C92" s="27">
        <v>5</v>
      </c>
      <c r="D92" s="27">
        <v>3</v>
      </c>
      <c r="E92" s="6">
        <f t="shared" si="0"/>
        <v>258.75662037276993</v>
      </c>
      <c r="H92" s="27"/>
      <c r="I92" s="27">
        <v>4</v>
      </c>
      <c r="J92" s="27">
        <v>3</v>
      </c>
      <c r="K92" s="27">
        <v>1</v>
      </c>
      <c r="L92" s="59">
        <f>(M$27/2)*SQRT(((I92/$G$5)^2)+((J92/$G$6)^2)+((K92/$G$7)^2))</f>
        <v>152.53401757859993</v>
      </c>
      <c r="M92" s="48">
        <f t="shared" si="1"/>
        <v>1.7779286897110467</v>
      </c>
      <c r="N92" s="20"/>
    </row>
    <row r="93" spans="1:14" ht="12.75">
      <c r="A93" s="27">
        <v>60</v>
      </c>
      <c r="B93" s="25">
        <v>1</v>
      </c>
      <c r="C93" s="34">
        <v>0</v>
      </c>
      <c r="D93" s="27">
        <v>4</v>
      </c>
      <c r="E93" s="6">
        <f t="shared" si="0"/>
        <v>251.75121770092446</v>
      </c>
      <c r="H93" s="27"/>
      <c r="I93" s="35">
        <v>0</v>
      </c>
      <c r="J93" s="34">
        <v>4</v>
      </c>
      <c r="K93" s="27">
        <v>1</v>
      </c>
      <c r="L93" s="59">
        <f t="shared" si="2"/>
        <v>154.34254492948028</v>
      </c>
      <c r="M93" s="48">
        <f t="shared" si="1"/>
        <v>1.8085273508803539</v>
      </c>
      <c r="N93" s="20"/>
    </row>
    <row r="94" spans="1:14" ht="12.75">
      <c r="A94" s="27">
        <v>61</v>
      </c>
      <c r="B94" s="25">
        <v>1</v>
      </c>
      <c r="C94" s="27">
        <v>1</v>
      </c>
      <c r="D94" s="27">
        <v>4</v>
      </c>
      <c r="E94" s="6">
        <f t="shared" si="0"/>
        <v>254.20846408783925</v>
      </c>
      <c r="H94" s="27"/>
      <c r="I94" s="27">
        <v>4</v>
      </c>
      <c r="J94" s="34">
        <v>0</v>
      </c>
      <c r="K94" s="27">
        <v>2</v>
      </c>
      <c r="L94" s="59">
        <f t="shared" si="2"/>
        <v>154.48377534419132</v>
      </c>
      <c r="M94" s="48">
        <f t="shared" si="1"/>
        <v>0.14123041471103193</v>
      </c>
      <c r="N94" s="20"/>
    </row>
    <row r="95" spans="1:14" ht="12.75">
      <c r="A95" s="27">
        <v>62</v>
      </c>
      <c r="B95" s="25">
        <v>1</v>
      </c>
      <c r="C95" s="34">
        <v>2</v>
      </c>
      <c r="D95" s="27">
        <v>4</v>
      </c>
      <c r="E95" s="6">
        <f t="shared" si="0"/>
        <v>261.44166847290865</v>
      </c>
      <c r="H95" s="27"/>
      <c r="I95" s="27">
        <v>5</v>
      </c>
      <c r="J95" s="27">
        <v>3</v>
      </c>
      <c r="K95" s="34">
        <v>0</v>
      </c>
      <c r="L95" s="59">
        <f>(M$27/2)*SQRT(((I95/$G$5)^2)+((J95/$G$6)^2)+((K95/$G$7)^2))</f>
        <v>154.66243443060117</v>
      </c>
      <c r="M95" s="48">
        <f t="shared" si="1"/>
        <v>0.1786590864098514</v>
      </c>
      <c r="N95" s="20"/>
    </row>
    <row r="96" spans="1:14" ht="12.75">
      <c r="A96" s="27">
        <v>63</v>
      </c>
      <c r="B96" s="25">
        <v>1</v>
      </c>
      <c r="C96" s="27">
        <v>3</v>
      </c>
      <c r="D96" s="27">
        <v>4</v>
      </c>
      <c r="E96" s="6">
        <f t="shared" si="0"/>
        <v>273.0715730607971</v>
      </c>
      <c r="H96" s="27"/>
      <c r="I96" s="34">
        <v>1</v>
      </c>
      <c r="J96" s="34">
        <v>4</v>
      </c>
      <c r="K96" s="27">
        <v>1</v>
      </c>
      <c r="L96" s="59">
        <f>(M$27/2)*SQRT(((I96/$G$5)^2)+((J96/$G$6)^2)+((K96/$G$7)^2))</f>
        <v>155.983536260301</v>
      </c>
      <c r="M96" s="48">
        <f t="shared" si="1"/>
        <v>1.3211018296998418</v>
      </c>
      <c r="N96" s="20"/>
    </row>
    <row r="97" spans="1:14" ht="12.75">
      <c r="A97" s="27">
        <v>64</v>
      </c>
      <c r="B97" s="25">
        <v>1</v>
      </c>
      <c r="C97" s="34">
        <v>4</v>
      </c>
      <c r="D97" s="27">
        <v>4</v>
      </c>
      <c r="E97" s="6">
        <f t="shared" si="0"/>
        <v>288.56707576211505</v>
      </c>
      <c r="H97" s="27"/>
      <c r="I97" s="27">
        <v>3</v>
      </c>
      <c r="J97" s="34">
        <v>4</v>
      </c>
      <c r="K97" s="34">
        <v>0</v>
      </c>
      <c r="L97" s="59">
        <f>(M$27/2)*SQRT(((I97/$G$5)^2)+((J97/$G$6)^2)+((K97/$G$7)^2))</f>
        <v>156.44635911596023</v>
      </c>
      <c r="M97" s="48">
        <f t="shared" si="1"/>
        <v>0.4628228556592262</v>
      </c>
      <c r="N97" s="20"/>
    </row>
    <row r="98" spans="1:14" ht="12.75">
      <c r="A98" s="27">
        <v>65</v>
      </c>
      <c r="B98" s="25">
        <v>1</v>
      </c>
      <c r="C98" s="27">
        <v>5</v>
      </c>
      <c r="D98" s="27">
        <v>4</v>
      </c>
      <c r="E98" s="6">
        <f aca="true" t="shared" si="3" ref="E98:E161">(M$27/2)*SQRT(((B98/G$5)^2)+((C98/G$6)^2)+((D98/G$7)^2))</f>
        <v>307.34405088418134</v>
      </c>
      <c r="H98" s="27"/>
      <c r="I98" s="27">
        <v>4</v>
      </c>
      <c r="J98" s="27">
        <v>1</v>
      </c>
      <c r="K98" s="27">
        <v>2</v>
      </c>
      <c r="L98" s="59">
        <f>(M$27/2)*SQRT(((I98/$G$5)^2)+((J98/$G$6)^2)+((K98/$G$7)^2))</f>
        <v>158.4566326936003</v>
      </c>
      <c r="M98" s="48">
        <f t="shared" si="1"/>
        <v>2.0102735776400777</v>
      </c>
      <c r="N98" s="20"/>
    </row>
    <row r="99" spans="1:14" ht="12.75">
      <c r="A99" s="27">
        <v>66</v>
      </c>
      <c r="B99" s="25">
        <v>1</v>
      </c>
      <c r="C99" s="34">
        <v>0</v>
      </c>
      <c r="D99" s="27">
        <v>5</v>
      </c>
      <c r="E99" s="6">
        <f t="shared" si="3"/>
        <v>314.2335624844616</v>
      </c>
      <c r="H99" s="27"/>
      <c r="I99" s="27">
        <v>3</v>
      </c>
      <c r="J99" s="34">
        <v>2</v>
      </c>
      <c r="K99" s="27">
        <v>2</v>
      </c>
      <c r="L99" s="59">
        <f t="shared" si="2"/>
        <v>158.97676050880696</v>
      </c>
      <c r="M99" s="48">
        <f aca="true" t="shared" si="4" ref="M99:M162">L99-L98</f>
        <v>0.5201278152066493</v>
      </c>
      <c r="N99" s="20"/>
    </row>
    <row r="100" spans="1:14" ht="12.75">
      <c r="A100" s="27">
        <v>67</v>
      </c>
      <c r="B100" s="25">
        <v>1</v>
      </c>
      <c r="C100" s="27">
        <v>1</v>
      </c>
      <c r="D100" s="27">
        <v>5</v>
      </c>
      <c r="E100" s="6">
        <f t="shared" si="3"/>
        <v>316.20562833649257</v>
      </c>
      <c r="H100" s="27"/>
      <c r="I100" s="34">
        <v>2</v>
      </c>
      <c r="J100" s="34">
        <v>4</v>
      </c>
      <c r="K100" s="27">
        <v>1</v>
      </c>
      <c r="L100" s="59">
        <f>(M$27/2)*SQRT(((I100/$G$5)^2)+((J100/$G$6)^2)+((K100/$G$7)^2))</f>
        <v>160.80606584065364</v>
      </c>
      <c r="M100" s="48">
        <f t="shared" si="4"/>
        <v>1.8293053318466832</v>
      </c>
      <c r="N100" s="20"/>
    </row>
    <row r="101" spans="1:14" ht="12.75">
      <c r="A101" s="27">
        <v>68</v>
      </c>
      <c r="B101" s="25">
        <v>1</v>
      </c>
      <c r="C101" s="34">
        <v>2</v>
      </c>
      <c r="D101" s="27">
        <v>5</v>
      </c>
      <c r="E101" s="6">
        <f t="shared" si="3"/>
        <v>322.0493784991302</v>
      </c>
      <c r="H101" s="27"/>
      <c r="I101" s="35">
        <v>0</v>
      </c>
      <c r="J101" s="27">
        <v>3</v>
      </c>
      <c r="K101" s="27">
        <v>2</v>
      </c>
      <c r="L101" s="59">
        <f t="shared" si="2"/>
        <v>164.03282202423563</v>
      </c>
      <c r="M101" s="48">
        <f t="shared" si="4"/>
        <v>3.2267561835819834</v>
      </c>
      <c r="N101" s="20"/>
    </row>
    <row r="102" spans="1:14" ht="12.75">
      <c r="A102" s="27">
        <v>69</v>
      </c>
      <c r="B102" s="25">
        <v>1</v>
      </c>
      <c r="C102" s="27">
        <v>3</v>
      </c>
      <c r="D102" s="27">
        <v>5</v>
      </c>
      <c r="E102" s="6">
        <f t="shared" si="3"/>
        <v>331.56016074262607</v>
      </c>
      <c r="H102" s="27"/>
      <c r="I102" s="34">
        <v>1</v>
      </c>
      <c r="J102" s="27">
        <v>3</v>
      </c>
      <c r="K102" s="27">
        <v>2</v>
      </c>
      <c r="L102" s="59">
        <f t="shared" si="2"/>
        <v>165.57780379686932</v>
      </c>
      <c r="M102" s="48">
        <f t="shared" si="4"/>
        <v>1.5449817726336903</v>
      </c>
      <c r="N102" s="20"/>
    </row>
    <row r="103" spans="1:14" ht="12.75">
      <c r="A103" s="27">
        <v>70</v>
      </c>
      <c r="B103" s="25">
        <v>1</v>
      </c>
      <c r="C103" s="34">
        <v>4</v>
      </c>
      <c r="D103" s="27">
        <v>5</v>
      </c>
      <c r="E103" s="6">
        <f t="shared" si="3"/>
        <v>344.4343382876859</v>
      </c>
      <c r="H103" s="27"/>
      <c r="I103" s="27">
        <v>5</v>
      </c>
      <c r="J103" s="27">
        <v>3</v>
      </c>
      <c r="K103" s="27">
        <v>1</v>
      </c>
      <c r="L103" s="59">
        <f>(M$27/2)*SQRT(((I103/$G$5)^2)+((J103/$G$6)^2)+((K103/$G$7)^2))</f>
        <v>166.8826180262901</v>
      </c>
      <c r="M103" s="48">
        <f t="shared" si="4"/>
        <v>1.3048142294207707</v>
      </c>
      <c r="N103" s="20"/>
    </row>
    <row r="104" spans="1:14" ht="12.75">
      <c r="A104" s="27">
        <v>71</v>
      </c>
      <c r="B104" s="25">
        <v>1</v>
      </c>
      <c r="C104" s="27">
        <v>5</v>
      </c>
      <c r="D104" s="27">
        <v>5</v>
      </c>
      <c r="E104" s="6">
        <f t="shared" si="3"/>
        <v>360.31156211211993</v>
      </c>
      <c r="H104" s="27"/>
      <c r="I104" s="27">
        <v>4</v>
      </c>
      <c r="J104" s="34">
        <v>4</v>
      </c>
      <c r="K104" s="34">
        <v>0</v>
      </c>
      <c r="L104" s="59">
        <f>(M$27/2)*SQRT(((I104/$G$5)^2)+((J104/$G$6)^2)+((K104/$G$7)^2))</f>
        <v>167.45196368917266</v>
      </c>
      <c r="M104" s="48">
        <f t="shared" si="4"/>
        <v>0.5693456628825686</v>
      </c>
      <c r="N104" s="20"/>
    </row>
    <row r="105" spans="1:14" ht="12.75">
      <c r="A105" s="27">
        <v>72</v>
      </c>
      <c r="B105" s="25">
        <v>2</v>
      </c>
      <c r="C105" s="34">
        <v>0</v>
      </c>
      <c r="D105" s="34">
        <v>0</v>
      </c>
      <c r="E105" s="6">
        <f t="shared" si="3"/>
        <v>45.132799999999996</v>
      </c>
      <c r="H105" s="27"/>
      <c r="I105" s="27">
        <v>3</v>
      </c>
      <c r="J105" s="34">
        <v>4</v>
      </c>
      <c r="K105" s="27">
        <v>1</v>
      </c>
      <c r="L105" s="59">
        <f>(M$27/2)*SQRT(((I105/$G$5)^2)+((J105/$G$6)^2)+((K105/$G$7)^2))</f>
        <v>168.53724471448035</v>
      </c>
      <c r="M105" s="48">
        <f t="shared" si="4"/>
        <v>1.0852810253076939</v>
      </c>
      <c r="N105" s="20"/>
    </row>
    <row r="106" spans="1:14" ht="12.75">
      <c r="A106" s="27">
        <v>73</v>
      </c>
      <c r="B106" s="25">
        <v>2</v>
      </c>
      <c r="C106" s="27">
        <v>1</v>
      </c>
      <c r="D106" s="34">
        <v>0</v>
      </c>
      <c r="E106" s="6">
        <f t="shared" si="3"/>
        <v>57.273355374379804</v>
      </c>
      <c r="H106" s="27"/>
      <c r="I106" s="27">
        <v>5</v>
      </c>
      <c r="J106" s="34">
        <v>0</v>
      </c>
      <c r="K106" s="27">
        <v>2</v>
      </c>
      <c r="L106" s="59">
        <f>(M$27/2)*SQRT(((I106/$G$5)^2)+((J106/$G$6)^2)+((K106/$G$7)^2))</f>
        <v>168.66658983104676</v>
      </c>
      <c r="M106" s="48">
        <f t="shared" si="4"/>
        <v>0.12934511656641234</v>
      </c>
      <c r="N106" s="20"/>
    </row>
    <row r="107" spans="1:14" ht="12.75">
      <c r="A107" s="27">
        <v>74</v>
      </c>
      <c r="B107" s="25">
        <v>2</v>
      </c>
      <c r="C107" s="34">
        <v>2</v>
      </c>
      <c r="D107" s="34">
        <v>0</v>
      </c>
      <c r="E107" s="6">
        <f t="shared" si="3"/>
        <v>83.72598184458633</v>
      </c>
      <c r="H107" s="27"/>
      <c r="I107" s="27">
        <v>4</v>
      </c>
      <c r="J107" s="34">
        <v>2</v>
      </c>
      <c r="K107" s="27">
        <v>2</v>
      </c>
      <c r="L107" s="59">
        <f>(M$27/2)*SQRT(((I107/$G$5)^2)+((J107/$G$6)^2)+((K107/$G$7)^2))</f>
        <v>169.8184537810734</v>
      </c>
      <c r="M107" s="48">
        <f t="shared" si="4"/>
        <v>1.1518639500266374</v>
      </c>
      <c r="N107" s="20"/>
    </row>
    <row r="108" spans="1:14" ht="12.75">
      <c r="A108" s="27">
        <v>75</v>
      </c>
      <c r="B108" s="25">
        <v>2</v>
      </c>
      <c r="C108" s="27">
        <v>3</v>
      </c>
      <c r="D108" s="34">
        <v>0</v>
      </c>
      <c r="E108" s="6">
        <f t="shared" si="3"/>
        <v>115.00599130410554</v>
      </c>
      <c r="H108" s="27"/>
      <c r="I108" s="34">
        <v>2</v>
      </c>
      <c r="J108" s="27">
        <v>3</v>
      </c>
      <c r="K108" s="27">
        <v>2</v>
      </c>
      <c r="L108" s="59">
        <f t="shared" si="2"/>
        <v>170.1285876537937</v>
      </c>
      <c r="M108" s="48">
        <f t="shared" si="4"/>
        <v>0.3101338727202858</v>
      </c>
      <c r="N108" s="20"/>
    </row>
    <row r="109" spans="1:14" ht="12.75">
      <c r="A109" s="27">
        <v>76</v>
      </c>
      <c r="B109" s="25">
        <v>2</v>
      </c>
      <c r="C109" s="34">
        <v>4</v>
      </c>
      <c r="D109" s="34">
        <v>0</v>
      </c>
      <c r="E109" s="6">
        <f t="shared" si="3"/>
        <v>148.08528365722233</v>
      </c>
      <c r="H109" s="27"/>
      <c r="I109" s="27">
        <v>5</v>
      </c>
      <c r="J109" s="27">
        <v>1</v>
      </c>
      <c r="K109" s="27">
        <v>2</v>
      </c>
      <c r="L109" s="59">
        <f>(M$27/2)*SQRT(((I109/$G$5)^2)+((J109/$G$6)^2)+((K109/$G$7)^2))</f>
        <v>172.31275671068167</v>
      </c>
      <c r="M109" s="48">
        <f t="shared" si="4"/>
        <v>2.1841690568879812</v>
      </c>
      <c r="N109" s="20"/>
    </row>
    <row r="110" spans="1:14" ht="12.75">
      <c r="A110" s="27">
        <v>77</v>
      </c>
      <c r="B110" s="25">
        <v>2</v>
      </c>
      <c r="C110" s="27">
        <v>5</v>
      </c>
      <c r="D110" s="34">
        <v>0</v>
      </c>
      <c r="E110" s="6">
        <f t="shared" si="3"/>
        <v>181.98532807850196</v>
      </c>
      <c r="H110" s="27"/>
      <c r="I110" s="35">
        <v>0</v>
      </c>
      <c r="J110" s="27">
        <v>5</v>
      </c>
      <c r="K110" s="34">
        <v>0</v>
      </c>
      <c r="L110" s="59">
        <f>(M$27/2)*SQRT(((I110/$G$5)^2)+((J110/$G$6)^2)+((K110/$G$7)^2))</f>
        <v>176.29999999999998</v>
      </c>
      <c r="M110" s="48">
        <f t="shared" si="4"/>
        <v>3.9872432893183145</v>
      </c>
      <c r="N110" s="20"/>
    </row>
    <row r="111" spans="1:14" ht="12.75">
      <c r="A111" s="27">
        <v>78</v>
      </c>
      <c r="B111" s="25">
        <v>2</v>
      </c>
      <c r="C111" s="34">
        <v>0</v>
      </c>
      <c r="D111" s="34">
        <v>1</v>
      </c>
      <c r="E111" s="6">
        <f t="shared" si="3"/>
        <v>77.24188767209566</v>
      </c>
      <c r="H111" s="27"/>
      <c r="I111" s="27">
        <v>3</v>
      </c>
      <c r="J111" s="27">
        <v>3</v>
      </c>
      <c r="K111" s="27">
        <v>2</v>
      </c>
      <c r="L111" s="59">
        <f>(M$27/2)*SQRT(((I111/$G$5)^2)+((J111/$G$6)^2)+((K111/$G$7)^2))</f>
        <v>177.45407400754306</v>
      </c>
      <c r="M111" s="48">
        <f t="shared" si="4"/>
        <v>1.1540740075430733</v>
      </c>
      <c r="N111" s="20"/>
    </row>
    <row r="112" spans="1:14" ht="12.75">
      <c r="A112" s="27">
        <v>79</v>
      </c>
      <c r="B112" s="25">
        <v>2</v>
      </c>
      <c r="C112" s="27">
        <v>1</v>
      </c>
      <c r="D112" s="27">
        <v>1</v>
      </c>
      <c r="E112" s="6">
        <f t="shared" si="3"/>
        <v>84.9092268905367</v>
      </c>
      <c r="H112" s="27"/>
      <c r="I112" s="34">
        <v>1</v>
      </c>
      <c r="J112" s="27">
        <v>5</v>
      </c>
      <c r="K112" s="34">
        <v>0</v>
      </c>
      <c r="L112" s="59">
        <f>(M$27/2)*SQRT(((I112/$G$5)^2)+((J112/$G$6)^2)+((K112/$G$7)^2))</f>
        <v>177.73838192399523</v>
      </c>
      <c r="M112" s="48">
        <f t="shared" si="4"/>
        <v>0.28430791645217823</v>
      </c>
      <c r="N112" s="20"/>
    </row>
    <row r="113" spans="1:14" ht="12.75">
      <c r="A113" s="27">
        <v>80</v>
      </c>
      <c r="B113" s="25">
        <v>2</v>
      </c>
      <c r="C113" s="34">
        <v>2</v>
      </c>
      <c r="D113" s="27">
        <v>1</v>
      </c>
      <c r="E113" s="6">
        <f t="shared" si="3"/>
        <v>104.59148919079716</v>
      </c>
      <c r="H113" s="27"/>
      <c r="I113" s="27">
        <v>4</v>
      </c>
      <c r="J113" s="34">
        <v>4</v>
      </c>
      <c r="K113" s="27">
        <v>1</v>
      </c>
      <c r="L113" s="59">
        <f>(M$27/2)*SQRT(((I113/$G$5)^2)+((J113/$G$6)^2)+((K113/$G$7)^2))</f>
        <v>178.8001669984361</v>
      </c>
      <c r="M113" s="48">
        <f t="shared" si="4"/>
        <v>1.061785074440877</v>
      </c>
      <c r="N113" s="20"/>
    </row>
    <row r="114" spans="1:14" ht="12.75">
      <c r="A114" s="27">
        <v>81</v>
      </c>
      <c r="B114" s="25">
        <v>2</v>
      </c>
      <c r="C114" s="27">
        <v>3</v>
      </c>
      <c r="D114" s="27">
        <v>1</v>
      </c>
      <c r="E114" s="6">
        <f t="shared" si="3"/>
        <v>130.979836658734</v>
      </c>
      <c r="H114" s="27"/>
      <c r="I114" s="27">
        <v>5</v>
      </c>
      <c r="J114" s="34">
        <v>4</v>
      </c>
      <c r="K114" s="34">
        <v>0</v>
      </c>
      <c r="L114" s="59">
        <f aca="true" t="shared" si="5" ref="L114:L237">(M$27/2)*SQRT(((I114/$G$5)^2)+((J114/$G$6)^2)+((K114/$G$7)^2))</f>
        <v>180.6193284895058</v>
      </c>
      <c r="M114" s="48">
        <f t="shared" si="4"/>
        <v>1.8191614910696785</v>
      </c>
      <c r="N114" s="20"/>
    </row>
    <row r="115" spans="1:14" ht="12.75">
      <c r="A115" s="27">
        <v>82</v>
      </c>
      <c r="B115" s="25">
        <v>2</v>
      </c>
      <c r="C115" s="34">
        <v>4</v>
      </c>
      <c r="D115" s="27">
        <v>1</v>
      </c>
      <c r="E115" s="6">
        <f t="shared" si="3"/>
        <v>160.80606584065364</v>
      </c>
      <c r="H115" s="27"/>
      <c r="I115" s="34">
        <v>2</v>
      </c>
      <c r="J115" s="27">
        <v>5</v>
      </c>
      <c r="K115" s="34">
        <v>0</v>
      </c>
      <c r="L115" s="59">
        <f>(M$27/2)*SQRT(((I115/$G$5)^2)+((J115/$G$6)^2)+((K115/$G$7)^2))</f>
        <v>181.98532807850196</v>
      </c>
      <c r="M115" s="48">
        <f t="shared" si="4"/>
        <v>1.365999588996175</v>
      </c>
      <c r="N115" s="20"/>
    </row>
    <row r="116" spans="1:14" ht="12.75">
      <c r="A116" s="27">
        <v>83</v>
      </c>
      <c r="B116" s="25">
        <v>2</v>
      </c>
      <c r="C116" s="27">
        <v>5</v>
      </c>
      <c r="D116" s="27">
        <v>1</v>
      </c>
      <c r="E116" s="6">
        <f t="shared" si="3"/>
        <v>192.4785681865611</v>
      </c>
      <c r="H116" s="27"/>
      <c r="I116" s="27">
        <v>5</v>
      </c>
      <c r="J116" s="34">
        <v>2</v>
      </c>
      <c r="K116" s="27">
        <v>2</v>
      </c>
      <c r="L116" s="59">
        <f>(M$27/2)*SQRT(((I116/$G$5)^2)+((J116/$G$6)^2)+((K116/$G$7)^2))</f>
        <v>182.81545045546497</v>
      </c>
      <c r="M116" s="48">
        <f t="shared" si="4"/>
        <v>0.8301223769630042</v>
      </c>
      <c r="N116" s="20"/>
    </row>
    <row r="117" spans="1:14" ht="12.75">
      <c r="A117" s="27">
        <v>84</v>
      </c>
      <c r="B117" s="25">
        <v>2</v>
      </c>
      <c r="C117" s="34">
        <v>0</v>
      </c>
      <c r="D117" s="27">
        <v>2</v>
      </c>
      <c r="E117" s="6">
        <f t="shared" si="3"/>
        <v>133.24536741318462</v>
      </c>
      <c r="H117" s="27"/>
      <c r="I117" s="35">
        <v>0</v>
      </c>
      <c r="J117" s="27">
        <v>5</v>
      </c>
      <c r="K117" s="27">
        <v>1</v>
      </c>
      <c r="L117" s="59">
        <f>(M$27/2)*SQRT(((I117/$G$5)^2)+((J117/$G$6)^2)+((K117/$G$7)^2))</f>
        <v>187.11234479667192</v>
      </c>
      <c r="M117" s="48">
        <f t="shared" si="4"/>
        <v>4.296894341206951</v>
      </c>
      <c r="N117" s="20"/>
    </row>
    <row r="118" spans="1:14" ht="12.75">
      <c r="A118" s="27">
        <v>85</v>
      </c>
      <c r="B118" s="25">
        <v>2</v>
      </c>
      <c r="C118" s="27">
        <v>1</v>
      </c>
      <c r="D118" s="27">
        <v>2</v>
      </c>
      <c r="E118" s="6">
        <f t="shared" si="3"/>
        <v>137.83176534121068</v>
      </c>
      <c r="H118" s="27"/>
      <c r="I118" s="27">
        <v>4</v>
      </c>
      <c r="J118" s="27">
        <v>3</v>
      </c>
      <c r="K118" s="27">
        <v>2</v>
      </c>
      <c r="L118" s="59">
        <f>(M$27/2)*SQRT(((I118/$G$5)^2)+((J118/$G$6)^2)+((K118/$G$7)^2))</f>
        <v>187.2288579375374</v>
      </c>
      <c r="M118" s="48">
        <f t="shared" si="4"/>
        <v>0.11651314086549291</v>
      </c>
      <c r="N118" s="20"/>
    </row>
    <row r="119" spans="1:14" ht="12.75">
      <c r="A119" s="27">
        <v>86</v>
      </c>
      <c r="B119" s="25">
        <v>2</v>
      </c>
      <c r="C119" s="34">
        <v>2</v>
      </c>
      <c r="D119" s="27">
        <v>2</v>
      </c>
      <c r="E119" s="6">
        <f t="shared" si="3"/>
        <v>150.75608888888888</v>
      </c>
      <c r="H119" s="27"/>
      <c r="I119" s="43">
        <v>0</v>
      </c>
      <c r="J119" s="24">
        <v>0</v>
      </c>
      <c r="K119" s="1">
        <v>3</v>
      </c>
      <c r="L119" s="58">
        <f t="shared" si="2"/>
        <v>188.0533333333333</v>
      </c>
      <c r="M119" s="48">
        <f t="shared" si="4"/>
        <v>0.8244753957959006</v>
      </c>
      <c r="N119" s="20"/>
    </row>
    <row r="120" spans="1:14" ht="12.75">
      <c r="A120" s="27">
        <v>87</v>
      </c>
      <c r="B120" s="25">
        <v>2</v>
      </c>
      <c r="C120" s="27">
        <v>3</v>
      </c>
      <c r="D120" s="27">
        <v>2</v>
      </c>
      <c r="E120" s="6">
        <f t="shared" si="3"/>
        <v>170.1285876537937</v>
      </c>
      <c r="H120" s="27"/>
      <c r="I120" s="34">
        <v>1</v>
      </c>
      <c r="J120" s="27">
        <v>5</v>
      </c>
      <c r="K120" s="27">
        <v>1</v>
      </c>
      <c r="L120" s="59">
        <f>(M$27/2)*SQRT(((I120/$G$5)^2)+((J120/$G$6)^2)+((K120/$G$7)^2))</f>
        <v>188.46822539693167</v>
      </c>
      <c r="M120" s="48">
        <f t="shared" si="4"/>
        <v>0.4148920635983586</v>
      </c>
      <c r="N120" s="20"/>
    </row>
    <row r="121" spans="1:14" ht="12.75">
      <c r="A121" s="27">
        <v>88</v>
      </c>
      <c r="B121" s="25">
        <v>2</v>
      </c>
      <c r="C121" s="34">
        <v>4</v>
      </c>
      <c r="D121" s="27">
        <v>2</v>
      </c>
      <c r="E121" s="6">
        <f t="shared" si="3"/>
        <v>194.0273422409186</v>
      </c>
      <c r="H121" s="27"/>
      <c r="I121" s="35">
        <v>0</v>
      </c>
      <c r="J121" s="34">
        <v>4</v>
      </c>
      <c r="K121" s="27">
        <v>2</v>
      </c>
      <c r="L121" s="59">
        <f>(M$27/2)*SQRT(((I121/$G$5)^2)+((J121/$G$6)^2)+((K121/$G$7)^2))</f>
        <v>188.70516659920725</v>
      </c>
      <c r="M121" s="48">
        <f t="shared" si="4"/>
        <v>0.23694120227557391</v>
      </c>
      <c r="N121" s="20"/>
    </row>
    <row r="122" spans="1:14" ht="12.75">
      <c r="A122" s="27">
        <v>89</v>
      </c>
      <c r="B122" s="25">
        <v>2</v>
      </c>
      <c r="C122" s="27">
        <v>5</v>
      </c>
      <c r="D122" s="27">
        <v>2</v>
      </c>
      <c r="E122" s="6">
        <f t="shared" si="3"/>
        <v>220.98872807696452</v>
      </c>
      <c r="H122" s="27"/>
      <c r="I122" s="27">
        <v>3</v>
      </c>
      <c r="J122" s="27">
        <v>5</v>
      </c>
      <c r="K122" s="34">
        <v>0</v>
      </c>
      <c r="L122" s="59">
        <f t="shared" si="5"/>
        <v>188.851454007217</v>
      </c>
      <c r="M122" s="48">
        <f t="shared" si="4"/>
        <v>0.14628740800975493</v>
      </c>
      <c r="N122" s="20"/>
    </row>
    <row r="123" spans="1:14" ht="12.75">
      <c r="A123" s="27">
        <v>90</v>
      </c>
      <c r="B123" s="25">
        <v>2</v>
      </c>
      <c r="C123" s="34">
        <v>0</v>
      </c>
      <c r="D123" s="27">
        <v>3</v>
      </c>
      <c r="E123" s="6">
        <f t="shared" si="3"/>
        <v>193.3934482179212</v>
      </c>
      <c r="H123" s="27"/>
      <c r="I123" s="34">
        <v>1</v>
      </c>
      <c r="J123" s="34">
        <v>0</v>
      </c>
      <c r="K123" s="27">
        <v>3</v>
      </c>
      <c r="L123" s="59">
        <f t="shared" si="2"/>
        <v>189.40247777349106</v>
      </c>
      <c r="M123" s="48">
        <f t="shared" si="4"/>
        <v>0.5510237662740565</v>
      </c>
      <c r="N123" s="20"/>
    </row>
    <row r="124" spans="1:14" ht="12.75">
      <c r="A124" s="27">
        <v>91</v>
      </c>
      <c r="B124" s="25">
        <v>2</v>
      </c>
      <c r="C124" s="27">
        <v>1</v>
      </c>
      <c r="D124" s="27">
        <v>3</v>
      </c>
      <c r="E124" s="6">
        <f t="shared" si="3"/>
        <v>196.58151849453643</v>
      </c>
      <c r="H124" s="27"/>
      <c r="I124" s="34">
        <v>1</v>
      </c>
      <c r="J124" s="34">
        <v>4</v>
      </c>
      <c r="K124" s="27">
        <v>2</v>
      </c>
      <c r="L124" s="59">
        <f>(M$27/2)*SQRT(((I124/$G$5)^2)+((J124/$G$6)^2)+((K124/$G$7)^2))</f>
        <v>190.04968379398733</v>
      </c>
      <c r="M124" s="48">
        <f t="shared" si="4"/>
        <v>0.6472060204962702</v>
      </c>
      <c r="N124" s="20"/>
    </row>
    <row r="125" spans="1:14" ht="12.75">
      <c r="A125" s="27">
        <v>92</v>
      </c>
      <c r="B125" s="25">
        <v>2</v>
      </c>
      <c r="C125" s="34">
        <v>2</v>
      </c>
      <c r="D125" s="27">
        <v>3</v>
      </c>
      <c r="E125" s="6">
        <f t="shared" si="3"/>
        <v>205.84969325606917</v>
      </c>
      <c r="H125" s="27"/>
      <c r="I125" s="27">
        <v>5</v>
      </c>
      <c r="J125" s="34">
        <v>4</v>
      </c>
      <c r="K125" s="27">
        <v>1</v>
      </c>
      <c r="L125" s="59">
        <f t="shared" si="5"/>
        <v>191.18755555555555</v>
      </c>
      <c r="M125" s="48">
        <f t="shared" si="4"/>
        <v>1.1378717615682206</v>
      </c>
      <c r="N125" s="20"/>
    </row>
    <row r="126" spans="1:14" ht="12.75">
      <c r="A126" s="27">
        <v>93</v>
      </c>
      <c r="B126" s="25">
        <v>2</v>
      </c>
      <c r="C126" s="27">
        <v>3</v>
      </c>
      <c r="D126" s="27">
        <v>3</v>
      </c>
      <c r="E126" s="6">
        <f t="shared" si="3"/>
        <v>220.43238013871232</v>
      </c>
      <c r="H126" s="27"/>
      <c r="I126" s="35">
        <v>0</v>
      </c>
      <c r="J126" s="27">
        <v>1</v>
      </c>
      <c r="K126" s="27">
        <v>3</v>
      </c>
      <c r="L126" s="59">
        <f t="shared" si="2"/>
        <v>191.33040473949188</v>
      </c>
      <c r="M126" s="48">
        <f t="shared" si="4"/>
        <v>0.1428491839363346</v>
      </c>
      <c r="N126" s="20"/>
    </row>
    <row r="127" spans="1:14" ht="12.75">
      <c r="A127" s="27">
        <v>94</v>
      </c>
      <c r="B127" s="25">
        <v>2</v>
      </c>
      <c r="C127" s="34">
        <v>4</v>
      </c>
      <c r="D127" s="27">
        <v>3</v>
      </c>
      <c r="E127" s="6">
        <f t="shared" si="3"/>
        <v>239.36020432314513</v>
      </c>
      <c r="H127" s="27"/>
      <c r="I127" s="34">
        <v>2</v>
      </c>
      <c r="J127" s="27">
        <v>5</v>
      </c>
      <c r="K127" s="27">
        <v>1</v>
      </c>
      <c r="L127" s="59">
        <f>(M$27/2)*SQRT(((I127/$G$5)^2)+((J127/$G$6)^2)+((K127/$G$7)^2))</f>
        <v>192.4785681865611</v>
      </c>
      <c r="M127" s="48">
        <f t="shared" si="4"/>
        <v>1.1481634470692086</v>
      </c>
      <c r="N127" s="20"/>
    </row>
    <row r="128" spans="1:14" ht="12.75">
      <c r="A128" s="27">
        <v>95</v>
      </c>
      <c r="B128" s="25">
        <v>2</v>
      </c>
      <c r="C128" s="27">
        <v>5</v>
      </c>
      <c r="D128" s="27">
        <v>3</v>
      </c>
      <c r="E128" s="6">
        <f t="shared" si="3"/>
        <v>261.69202474209595</v>
      </c>
      <c r="H128" s="27"/>
      <c r="I128" s="34">
        <v>1</v>
      </c>
      <c r="J128" s="27">
        <v>1</v>
      </c>
      <c r="K128" s="27">
        <v>3</v>
      </c>
      <c r="L128" s="59">
        <f t="shared" si="2"/>
        <v>192.65660172113948</v>
      </c>
      <c r="M128" s="48">
        <f t="shared" si="4"/>
        <v>0.17803353457838966</v>
      </c>
      <c r="N128" s="20"/>
    </row>
    <row r="129" spans="1:14" ht="12.75">
      <c r="A129" s="27">
        <v>96</v>
      </c>
      <c r="B129" s="25">
        <v>2</v>
      </c>
      <c r="C129" s="34">
        <v>0</v>
      </c>
      <c r="D129" s="27">
        <v>4</v>
      </c>
      <c r="E129" s="6">
        <f t="shared" si="3"/>
        <v>254.76735042147425</v>
      </c>
      <c r="H129" s="27"/>
      <c r="I129" s="34">
        <v>2</v>
      </c>
      <c r="J129" s="34">
        <v>0</v>
      </c>
      <c r="K129" s="27">
        <v>3</v>
      </c>
      <c r="L129" s="59">
        <f t="shared" si="2"/>
        <v>193.3934482179212</v>
      </c>
      <c r="M129" s="48">
        <f t="shared" si="4"/>
        <v>0.736846496781709</v>
      </c>
      <c r="N129" s="20"/>
    </row>
    <row r="130" spans="1:14" ht="12.75">
      <c r="A130" s="27">
        <v>97</v>
      </c>
      <c r="B130" s="25">
        <v>2</v>
      </c>
      <c r="C130" s="27">
        <v>1</v>
      </c>
      <c r="D130" s="27">
        <v>4</v>
      </c>
      <c r="E130" s="6">
        <f t="shared" si="3"/>
        <v>257.19578231529823</v>
      </c>
      <c r="H130" s="27"/>
      <c r="I130" s="34">
        <v>2</v>
      </c>
      <c r="J130" s="34">
        <v>4</v>
      </c>
      <c r="K130" s="27">
        <v>2</v>
      </c>
      <c r="L130" s="59">
        <f>(M$27/2)*SQRT(((I130/$G$5)^2)+((J130/$G$6)^2)+((K130/$G$7)^2))</f>
        <v>194.0273422409186</v>
      </c>
      <c r="M130" s="48">
        <f t="shared" si="4"/>
        <v>0.6338940229974241</v>
      </c>
      <c r="N130" s="20"/>
    </row>
    <row r="131" spans="1:14" ht="12.75">
      <c r="A131" s="27">
        <v>98</v>
      </c>
      <c r="B131" s="25">
        <v>2</v>
      </c>
      <c r="C131" s="34">
        <v>2</v>
      </c>
      <c r="D131" s="27">
        <v>4</v>
      </c>
      <c r="E131" s="6">
        <f t="shared" si="3"/>
        <v>264.347258810789</v>
      </c>
      <c r="H131" s="27"/>
      <c r="I131" s="34">
        <v>2</v>
      </c>
      <c r="J131" s="27">
        <v>1</v>
      </c>
      <c r="K131" s="27">
        <v>3</v>
      </c>
      <c r="L131" s="59">
        <f t="shared" si="2"/>
        <v>196.58151849453643</v>
      </c>
      <c r="M131" s="48">
        <f t="shared" si="4"/>
        <v>2.554176253617811</v>
      </c>
      <c r="N131" s="20"/>
    </row>
    <row r="132" spans="1:14" ht="12.75">
      <c r="A132" s="27">
        <v>99</v>
      </c>
      <c r="B132" s="25">
        <v>2</v>
      </c>
      <c r="C132" s="27">
        <v>3</v>
      </c>
      <c r="D132" s="27">
        <v>4</v>
      </c>
      <c r="E132" s="6">
        <f t="shared" si="3"/>
        <v>275.8546922580406</v>
      </c>
      <c r="H132" s="27"/>
      <c r="I132" s="27">
        <v>4</v>
      </c>
      <c r="J132" s="27">
        <v>5</v>
      </c>
      <c r="K132" s="34">
        <v>0</v>
      </c>
      <c r="L132" s="59">
        <f t="shared" si="5"/>
        <v>198.06455650459017</v>
      </c>
      <c r="M132" s="48">
        <f t="shared" si="4"/>
        <v>1.4830380100537468</v>
      </c>
      <c r="N132" s="20"/>
    </row>
    <row r="133" spans="1:14" ht="12.75">
      <c r="A133" s="27">
        <v>100</v>
      </c>
      <c r="B133" s="25">
        <v>2</v>
      </c>
      <c r="C133" s="34">
        <v>4</v>
      </c>
      <c r="D133" s="27">
        <v>4</v>
      </c>
      <c r="E133" s="6">
        <f t="shared" si="3"/>
        <v>291.2021367380025</v>
      </c>
      <c r="H133" s="27"/>
      <c r="I133" s="27">
        <v>3</v>
      </c>
      <c r="J133" s="27">
        <v>5</v>
      </c>
      <c r="K133" s="27">
        <v>1</v>
      </c>
      <c r="L133" s="59">
        <f t="shared" si="5"/>
        <v>198.98294212305896</v>
      </c>
      <c r="M133" s="48">
        <f t="shared" si="4"/>
        <v>0.9183856184687897</v>
      </c>
      <c r="N133" s="20"/>
    </row>
    <row r="134" spans="1:14" ht="12.75">
      <c r="A134" s="27">
        <v>101</v>
      </c>
      <c r="B134" s="25">
        <v>2</v>
      </c>
      <c r="C134" s="27">
        <v>5</v>
      </c>
      <c r="D134" s="27">
        <v>4</v>
      </c>
      <c r="E134" s="6">
        <f t="shared" si="3"/>
        <v>309.819452005161</v>
      </c>
      <c r="H134" s="27"/>
      <c r="I134" s="27">
        <v>5</v>
      </c>
      <c r="J134" s="27">
        <v>3</v>
      </c>
      <c r="K134" s="27">
        <v>2</v>
      </c>
      <c r="L134" s="59">
        <f t="shared" si="5"/>
        <v>199.09250846085237</v>
      </c>
      <c r="M134" s="48">
        <f t="shared" si="4"/>
        <v>0.10956633779341018</v>
      </c>
      <c r="N134" s="20"/>
    </row>
    <row r="135" spans="1:14" ht="12.75">
      <c r="A135" s="27">
        <v>102</v>
      </c>
      <c r="B135" s="25">
        <v>2</v>
      </c>
      <c r="C135" s="34">
        <v>0</v>
      </c>
      <c r="D135" s="27">
        <v>5</v>
      </c>
      <c r="E135" s="6">
        <f t="shared" si="3"/>
        <v>316.65511052019366</v>
      </c>
      <c r="H135" s="27"/>
      <c r="I135" s="27">
        <v>3</v>
      </c>
      <c r="J135" s="34">
        <v>0</v>
      </c>
      <c r="K135" s="27">
        <v>3</v>
      </c>
      <c r="L135" s="59">
        <f>(M$27/2)*SQRT(((I135/$G$5)^2)+((J135/$G$6)^2)+((K135/$G$7)^2))</f>
        <v>199.86805111977694</v>
      </c>
      <c r="M135" s="48">
        <f t="shared" si="4"/>
        <v>0.7755426589245644</v>
      </c>
      <c r="N135" s="20"/>
    </row>
    <row r="136" spans="1:14" ht="12.75">
      <c r="A136" s="27">
        <v>103</v>
      </c>
      <c r="B136" s="25">
        <v>2</v>
      </c>
      <c r="C136" s="27">
        <v>1</v>
      </c>
      <c r="D136" s="27">
        <v>5</v>
      </c>
      <c r="E136" s="6">
        <f t="shared" si="3"/>
        <v>318.6121884337698</v>
      </c>
      <c r="H136" s="27"/>
      <c r="I136" s="27">
        <v>3</v>
      </c>
      <c r="J136" s="34">
        <v>4</v>
      </c>
      <c r="K136" s="27">
        <v>2</v>
      </c>
      <c r="L136" s="59">
        <f>(M$27/2)*SQRT(((I136/$G$5)^2)+((J136/$G$6)^2)+((K136/$G$7)^2))</f>
        <v>200.4814744106661</v>
      </c>
      <c r="M136" s="48">
        <f t="shared" si="4"/>
        <v>0.613423290889159</v>
      </c>
      <c r="N136" s="20"/>
    </row>
    <row r="137" spans="1:14" ht="12.75">
      <c r="A137" s="27">
        <v>104</v>
      </c>
      <c r="B137" s="25">
        <v>2</v>
      </c>
      <c r="C137" s="34">
        <v>2</v>
      </c>
      <c r="D137" s="27">
        <v>5</v>
      </c>
      <c r="E137" s="6">
        <f t="shared" si="3"/>
        <v>324.41259133787645</v>
      </c>
      <c r="H137" s="27"/>
      <c r="I137" s="35">
        <v>0</v>
      </c>
      <c r="J137" s="34">
        <v>2</v>
      </c>
      <c r="K137" s="27">
        <v>3</v>
      </c>
      <c r="L137" s="59">
        <f t="shared" si="2"/>
        <v>200.84104803993074</v>
      </c>
      <c r="M137" s="48">
        <f t="shared" si="4"/>
        <v>0.359573629264645</v>
      </c>
      <c r="N137" s="20"/>
    </row>
    <row r="138" spans="1:14" ht="12.75">
      <c r="A138" s="27">
        <v>105</v>
      </c>
      <c r="B138" s="25">
        <v>2</v>
      </c>
      <c r="C138" s="27">
        <v>3</v>
      </c>
      <c r="D138" s="27">
        <v>5</v>
      </c>
      <c r="E138" s="6">
        <f t="shared" si="3"/>
        <v>333.85605793299015</v>
      </c>
      <c r="H138" s="27"/>
      <c r="I138" s="34">
        <v>1</v>
      </c>
      <c r="J138" s="34">
        <v>2</v>
      </c>
      <c r="K138" s="27">
        <v>3</v>
      </c>
      <c r="L138" s="59">
        <f t="shared" si="2"/>
        <v>202.10484651966607</v>
      </c>
      <c r="M138" s="48">
        <f t="shared" si="4"/>
        <v>1.2637984797353283</v>
      </c>
      <c r="N138" s="20"/>
    </row>
    <row r="139" spans="1:14" ht="12.75">
      <c r="A139" s="27">
        <v>106</v>
      </c>
      <c r="B139" s="25">
        <v>2</v>
      </c>
      <c r="C139" s="34">
        <v>4</v>
      </c>
      <c r="D139" s="27">
        <v>5</v>
      </c>
      <c r="E139" s="6">
        <f t="shared" si="3"/>
        <v>346.64497777777774</v>
      </c>
      <c r="H139" s="27"/>
      <c r="I139" s="27">
        <v>3</v>
      </c>
      <c r="J139" s="27">
        <v>1</v>
      </c>
      <c r="K139" s="27">
        <v>3</v>
      </c>
      <c r="L139" s="59">
        <f>(M$27/2)*SQRT(((I139/$G$5)^2)+((J139/$G$6)^2)+((K139/$G$7)^2))</f>
        <v>202.95444182973125</v>
      </c>
      <c r="M139" s="48">
        <f t="shared" si="4"/>
        <v>0.8495953100651832</v>
      </c>
      <c r="N139" s="20"/>
    </row>
    <row r="140" spans="1:14" ht="12.75">
      <c r="A140" s="27">
        <v>107</v>
      </c>
      <c r="B140" s="25">
        <v>2</v>
      </c>
      <c r="C140" s="27">
        <v>5</v>
      </c>
      <c r="D140" s="27">
        <v>5</v>
      </c>
      <c r="E140" s="6">
        <f t="shared" si="3"/>
        <v>362.4253702744278</v>
      </c>
      <c r="H140" s="27"/>
      <c r="I140" s="34">
        <v>2</v>
      </c>
      <c r="J140" s="34">
        <v>2</v>
      </c>
      <c r="K140" s="27">
        <v>3</v>
      </c>
      <c r="L140" s="59">
        <f>(M$27/2)*SQRT(((I140/$G$5)^2)+((J140/$G$6)^2)+((K140/$G$7)^2))</f>
        <v>205.84969325606917</v>
      </c>
      <c r="M140" s="48">
        <f t="shared" si="4"/>
        <v>2.8952514263379214</v>
      </c>
      <c r="N140" s="20"/>
    </row>
    <row r="141" spans="1:14" ht="12.75">
      <c r="A141" s="27">
        <v>108</v>
      </c>
      <c r="B141" s="25">
        <v>3</v>
      </c>
      <c r="C141" s="34">
        <v>0</v>
      </c>
      <c r="D141" s="34">
        <v>0</v>
      </c>
      <c r="E141" s="6">
        <f t="shared" si="3"/>
        <v>67.69919999999999</v>
      </c>
      <c r="H141" s="27"/>
      <c r="I141" s="27">
        <v>4</v>
      </c>
      <c r="J141" s="27">
        <v>5</v>
      </c>
      <c r="K141" s="27">
        <v>1</v>
      </c>
      <c r="L141" s="59">
        <f t="shared" si="5"/>
        <v>207.74722168700268</v>
      </c>
      <c r="M141" s="48">
        <f t="shared" si="4"/>
        <v>1.8975284309335052</v>
      </c>
      <c r="N141" s="20"/>
    </row>
    <row r="142" spans="1:14" ht="12.75">
      <c r="A142" s="27">
        <v>109</v>
      </c>
      <c r="B142" s="25">
        <v>3</v>
      </c>
      <c r="C142" s="27">
        <v>1</v>
      </c>
      <c r="D142" s="34">
        <v>0</v>
      </c>
      <c r="E142" s="6">
        <f t="shared" si="3"/>
        <v>76.3311815750287</v>
      </c>
      <c r="H142" s="27"/>
      <c r="I142" s="27">
        <v>4</v>
      </c>
      <c r="J142" s="34">
        <v>0</v>
      </c>
      <c r="K142" s="27">
        <v>3</v>
      </c>
      <c r="L142" s="59">
        <f>(M$27/2)*SQRT(((I142/$G$5)^2)+((J142/$G$6)^2)+((K142/$G$7)^2))</f>
        <v>208.595145487947</v>
      </c>
      <c r="M142" s="48">
        <f t="shared" si="4"/>
        <v>0.8479238009443293</v>
      </c>
      <c r="N142" s="20"/>
    </row>
    <row r="143" spans="1:14" ht="12.75">
      <c r="A143" s="27">
        <v>110</v>
      </c>
      <c r="B143" s="25">
        <v>3</v>
      </c>
      <c r="C143" s="34">
        <v>2</v>
      </c>
      <c r="D143" s="34">
        <v>0</v>
      </c>
      <c r="E143" s="6">
        <f t="shared" si="3"/>
        <v>97.75608462208375</v>
      </c>
      <c r="H143" s="27"/>
      <c r="I143" s="27">
        <v>4</v>
      </c>
      <c r="J143" s="34">
        <v>4</v>
      </c>
      <c r="K143" s="27">
        <v>2</v>
      </c>
      <c r="L143" s="59">
        <f t="shared" si="5"/>
        <v>209.18297838159432</v>
      </c>
      <c r="M143" s="48">
        <f t="shared" si="4"/>
        <v>0.5878328936473167</v>
      </c>
      <c r="N143" s="20"/>
    </row>
    <row r="144" spans="1:14" ht="12.75">
      <c r="A144" s="27">
        <v>111</v>
      </c>
      <c r="B144" s="25">
        <v>3</v>
      </c>
      <c r="C144" s="27">
        <v>3</v>
      </c>
      <c r="D144" s="34">
        <v>0</v>
      </c>
      <c r="E144" s="6">
        <f t="shared" si="3"/>
        <v>125.5889727668795</v>
      </c>
      <c r="H144" s="27"/>
      <c r="I144" s="27">
        <v>5</v>
      </c>
      <c r="J144" s="27">
        <v>5</v>
      </c>
      <c r="K144" s="34">
        <v>0</v>
      </c>
      <c r="L144" s="59">
        <f t="shared" si="5"/>
        <v>209.31495461146582</v>
      </c>
      <c r="M144" s="48">
        <f t="shared" si="4"/>
        <v>0.1319762298714977</v>
      </c>
      <c r="N144" s="20"/>
    </row>
    <row r="145" spans="1:14" ht="12.75">
      <c r="A145" s="27">
        <v>112</v>
      </c>
      <c r="B145" s="25">
        <v>3</v>
      </c>
      <c r="C145" s="34">
        <v>4</v>
      </c>
      <c r="D145" s="34">
        <v>0</v>
      </c>
      <c r="E145" s="6">
        <f t="shared" si="3"/>
        <v>156.44635911596023</v>
      </c>
      <c r="H145" s="27"/>
      <c r="I145" s="27">
        <v>4</v>
      </c>
      <c r="J145" s="27">
        <v>1</v>
      </c>
      <c r="K145" s="27">
        <v>3</v>
      </c>
      <c r="L145" s="59">
        <f aca="true" t="shared" si="6" ref="L145:L150">(M$27/2)*SQRT(((I145/$G$5)^2)+((J145/$G$6)^2)+((K145/$G$7)^2))</f>
        <v>211.5542538478907</v>
      </c>
      <c r="M145" s="48">
        <f t="shared" si="4"/>
        <v>2.23929923642487</v>
      </c>
      <c r="N145" s="20"/>
    </row>
    <row r="146" spans="1:14" ht="12.75">
      <c r="A146" s="27">
        <v>113</v>
      </c>
      <c r="B146" s="25">
        <v>3</v>
      </c>
      <c r="C146" s="27">
        <v>5</v>
      </c>
      <c r="D146" s="34">
        <v>0</v>
      </c>
      <c r="E146" s="6">
        <f t="shared" si="3"/>
        <v>188.851454007217</v>
      </c>
      <c r="H146" s="27"/>
      <c r="I146" s="27">
        <v>3</v>
      </c>
      <c r="J146" s="34">
        <v>2</v>
      </c>
      <c r="K146" s="27">
        <v>3</v>
      </c>
      <c r="L146" s="59">
        <f t="shared" si="6"/>
        <v>211.94411588533842</v>
      </c>
      <c r="M146" s="48">
        <f t="shared" si="4"/>
        <v>0.3898620374477275</v>
      </c>
      <c r="N146" s="20"/>
    </row>
    <row r="147" spans="1:14" ht="12.75">
      <c r="A147" s="27">
        <v>114</v>
      </c>
      <c r="B147" s="25">
        <v>3</v>
      </c>
      <c r="C147" s="34">
        <v>0</v>
      </c>
      <c r="D147" s="34">
        <v>1</v>
      </c>
      <c r="E147" s="6">
        <f t="shared" si="3"/>
        <v>92.26332562805571</v>
      </c>
      <c r="H147" s="27"/>
      <c r="I147" s="35">
        <v>0</v>
      </c>
      <c r="J147" s="27">
        <v>3</v>
      </c>
      <c r="K147" s="27">
        <v>3</v>
      </c>
      <c r="L147" s="59">
        <f t="shared" si="6"/>
        <v>215.76251893639397</v>
      </c>
      <c r="M147" s="48">
        <f t="shared" si="4"/>
        <v>3.8184030510555544</v>
      </c>
      <c r="N147" s="20"/>
    </row>
    <row r="148" spans="1:14" ht="12.75">
      <c r="A148" s="27">
        <v>115</v>
      </c>
      <c r="B148" s="25">
        <v>3</v>
      </c>
      <c r="C148" s="27">
        <v>1</v>
      </c>
      <c r="D148" s="27">
        <v>1</v>
      </c>
      <c r="E148" s="6">
        <f t="shared" si="3"/>
        <v>98.77139695250159</v>
      </c>
      <c r="H148" s="27"/>
      <c r="I148" s="35">
        <v>0</v>
      </c>
      <c r="J148" s="27">
        <v>5</v>
      </c>
      <c r="K148" s="27">
        <v>2</v>
      </c>
      <c r="L148" s="59">
        <f t="shared" si="6"/>
        <v>216.33087690210695</v>
      </c>
      <c r="M148" s="48">
        <f t="shared" si="4"/>
        <v>0.5683579657129769</v>
      </c>
      <c r="N148" s="20"/>
    </row>
    <row r="149" spans="1:14" ht="12.75">
      <c r="A149" s="27">
        <v>116</v>
      </c>
      <c r="B149" s="25">
        <v>3</v>
      </c>
      <c r="C149" s="34">
        <v>2</v>
      </c>
      <c r="D149" s="27">
        <v>1</v>
      </c>
      <c r="E149" s="6">
        <f t="shared" si="3"/>
        <v>116.12748019288388</v>
      </c>
      <c r="H149" s="27"/>
      <c r="I149" s="34">
        <v>1</v>
      </c>
      <c r="J149" s="27">
        <v>3</v>
      </c>
      <c r="K149" s="27">
        <v>3</v>
      </c>
      <c r="L149" s="59">
        <f t="shared" si="6"/>
        <v>216.93940856086468</v>
      </c>
      <c r="M149" s="48">
        <f t="shared" si="4"/>
        <v>0.6085316587577267</v>
      </c>
      <c r="N149" s="20"/>
    </row>
    <row r="150" spans="1:14" ht="12.75">
      <c r="A150" s="27">
        <v>117</v>
      </c>
      <c r="B150" s="25">
        <v>3</v>
      </c>
      <c r="C150" s="27">
        <v>3</v>
      </c>
      <c r="D150" s="27">
        <v>1</v>
      </c>
      <c r="E150" s="6">
        <f t="shared" si="3"/>
        <v>140.3635624225484</v>
      </c>
      <c r="H150" s="27"/>
      <c r="I150" s="34">
        <v>1</v>
      </c>
      <c r="J150" s="27">
        <v>5</v>
      </c>
      <c r="K150" s="27">
        <v>2</v>
      </c>
      <c r="L150" s="59">
        <f t="shared" si="6"/>
        <v>217.50469123721115</v>
      </c>
      <c r="M150" s="48">
        <f t="shared" si="4"/>
        <v>0.5652826763464702</v>
      </c>
      <c r="N150" s="20"/>
    </row>
    <row r="151" spans="1:14" ht="12.75">
      <c r="A151" s="27">
        <v>118</v>
      </c>
      <c r="B151" s="25">
        <v>3</v>
      </c>
      <c r="C151" s="34">
        <v>4</v>
      </c>
      <c r="D151" s="27">
        <v>1</v>
      </c>
      <c r="E151" s="6">
        <f t="shared" si="3"/>
        <v>168.53724471448035</v>
      </c>
      <c r="H151" s="27"/>
      <c r="I151" s="27">
        <v>5</v>
      </c>
      <c r="J151" s="27">
        <v>5</v>
      </c>
      <c r="K151" s="27">
        <v>1</v>
      </c>
      <c r="L151" s="59">
        <f t="shared" si="5"/>
        <v>218.4996334077214</v>
      </c>
      <c r="M151" s="48">
        <f t="shared" si="4"/>
        <v>0.9949421705102566</v>
      </c>
      <c r="N151" s="20"/>
    </row>
    <row r="152" spans="1:14" ht="12.75">
      <c r="A152" s="27">
        <v>119</v>
      </c>
      <c r="B152" s="25">
        <v>3</v>
      </c>
      <c r="C152" s="27">
        <v>5</v>
      </c>
      <c r="D152" s="27">
        <v>1</v>
      </c>
      <c r="E152" s="6">
        <f t="shared" si="3"/>
        <v>198.98294212305896</v>
      </c>
      <c r="H152" s="27"/>
      <c r="I152" s="27">
        <v>5</v>
      </c>
      <c r="J152" s="34">
        <v>0</v>
      </c>
      <c r="K152" s="27">
        <v>3</v>
      </c>
      <c r="L152" s="59">
        <f>(M$27/2)*SQRT(((I152/$G$5)^2)+((J152/$G$6)^2)+((K152/$G$7)^2))</f>
        <v>219.30598806639495</v>
      </c>
      <c r="M152" s="48">
        <f t="shared" si="4"/>
        <v>0.8063546586735413</v>
      </c>
      <c r="N152" s="20"/>
    </row>
    <row r="153" spans="1:14" ht="12.75">
      <c r="A153" s="27">
        <v>120</v>
      </c>
      <c r="B153" s="25">
        <v>3</v>
      </c>
      <c r="C153" s="34">
        <v>0</v>
      </c>
      <c r="D153" s="27">
        <v>2</v>
      </c>
      <c r="E153" s="6">
        <f t="shared" si="3"/>
        <v>142.479963440038</v>
      </c>
      <c r="H153" s="27"/>
      <c r="I153" s="27">
        <v>5</v>
      </c>
      <c r="J153" s="34">
        <v>4</v>
      </c>
      <c r="K153" s="27">
        <v>2</v>
      </c>
      <c r="L153" s="59">
        <f t="shared" si="5"/>
        <v>219.86518625110833</v>
      </c>
      <c r="M153" s="48">
        <f t="shared" si="4"/>
        <v>0.5591981847133809</v>
      </c>
      <c r="N153" s="20"/>
    </row>
    <row r="154" spans="1:14" ht="12.75">
      <c r="A154" s="27">
        <v>121</v>
      </c>
      <c r="B154" s="25">
        <v>3</v>
      </c>
      <c r="C154" s="27">
        <v>1</v>
      </c>
      <c r="D154" s="27">
        <v>2</v>
      </c>
      <c r="E154" s="6">
        <f t="shared" si="3"/>
        <v>146.7780895838155</v>
      </c>
      <c r="H154" s="27"/>
      <c r="I154" s="27">
        <v>4</v>
      </c>
      <c r="J154" s="34">
        <v>2</v>
      </c>
      <c r="K154" s="27">
        <v>3</v>
      </c>
      <c r="L154" s="59">
        <f>(M$27/2)*SQRT(((I154/$G$5)^2)+((J154/$G$6)^2)+((K154/$G$7)^2))</f>
        <v>220.1931087049224</v>
      </c>
      <c r="M154" s="48">
        <f t="shared" si="4"/>
        <v>0.32792245381406815</v>
      </c>
      <c r="N154" s="20"/>
    </row>
    <row r="155" spans="1:14" ht="12.75">
      <c r="A155" s="27">
        <v>122</v>
      </c>
      <c r="B155" s="25">
        <v>3</v>
      </c>
      <c r="C155" s="34">
        <v>2</v>
      </c>
      <c r="D155" s="27">
        <v>2</v>
      </c>
      <c r="E155" s="6">
        <f t="shared" si="3"/>
        <v>158.97676050880696</v>
      </c>
      <c r="H155" s="27"/>
      <c r="I155" s="34">
        <v>2</v>
      </c>
      <c r="J155" s="27">
        <v>3</v>
      </c>
      <c r="K155" s="27">
        <v>3</v>
      </c>
      <c r="L155" s="59">
        <f>(M$27/2)*SQRT(((I155/$G$5)^2)+((J155/$G$6)^2)+((K155/$G$7)^2))</f>
        <v>220.43238013871232</v>
      </c>
      <c r="M155" s="48">
        <f t="shared" si="4"/>
        <v>0.23927143378992355</v>
      </c>
      <c r="N155" s="20"/>
    </row>
    <row r="156" spans="1:14" ht="12.75">
      <c r="A156" s="27">
        <v>123</v>
      </c>
      <c r="B156" s="25">
        <v>3</v>
      </c>
      <c r="C156" s="27">
        <v>3</v>
      </c>
      <c r="D156" s="27">
        <v>2</v>
      </c>
      <c r="E156" s="6">
        <f t="shared" si="3"/>
        <v>177.45407400754306</v>
      </c>
      <c r="H156" s="27"/>
      <c r="I156" s="34">
        <v>2</v>
      </c>
      <c r="J156" s="27">
        <v>5</v>
      </c>
      <c r="K156" s="27">
        <v>2</v>
      </c>
      <c r="L156" s="59">
        <f t="shared" si="5"/>
        <v>220.98872807696452</v>
      </c>
      <c r="M156" s="48">
        <f t="shared" si="4"/>
        <v>0.5563479382522019</v>
      </c>
      <c r="N156" s="20"/>
    </row>
    <row r="157" spans="1:14" ht="12.75">
      <c r="A157" s="27">
        <v>124</v>
      </c>
      <c r="B157" s="25">
        <v>3</v>
      </c>
      <c r="C157" s="34">
        <v>4</v>
      </c>
      <c r="D157" s="27">
        <v>2</v>
      </c>
      <c r="E157" s="6">
        <f t="shared" si="3"/>
        <v>200.4814744106661</v>
      </c>
      <c r="H157" s="27"/>
      <c r="I157" s="27">
        <v>5</v>
      </c>
      <c r="J157" s="27">
        <v>1</v>
      </c>
      <c r="K157" s="27">
        <v>3</v>
      </c>
      <c r="L157" s="59">
        <f t="shared" si="5"/>
        <v>222.12245271871498</v>
      </c>
      <c r="M157" s="48">
        <f t="shared" si="4"/>
        <v>1.1337246417504616</v>
      </c>
      <c r="N157" s="20"/>
    </row>
    <row r="158" spans="1:14" ht="12.75">
      <c r="A158" s="27">
        <v>125</v>
      </c>
      <c r="B158" s="25">
        <v>3</v>
      </c>
      <c r="C158" s="27">
        <v>5</v>
      </c>
      <c r="D158" s="27">
        <v>2</v>
      </c>
      <c r="E158" s="6">
        <f t="shared" si="3"/>
        <v>226.67648749236113</v>
      </c>
      <c r="H158" s="27"/>
      <c r="I158" s="27">
        <v>3</v>
      </c>
      <c r="J158" s="27">
        <v>3</v>
      </c>
      <c r="K158" s="27">
        <v>3</v>
      </c>
      <c r="L158" s="59">
        <f>(M$27/2)*SQRT(((I158/$G$5)^2)+((J158/$G$6)^2)+((K158/$G$7)^2))</f>
        <v>226.13413333333332</v>
      </c>
      <c r="M158" s="48">
        <f t="shared" si="4"/>
        <v>4.011680614618342</v>
      </c>
      <c r="N158" s="20"/>
    </row>
    <row r="159" spans="1:14" ht="12.75">
      <c r="A159" s="27">
        <v>126</v>
      </c>
      <c r="B159" s="25">
        <v>3</v>
      </c>
      <c r="C159" s="34">
        <v>0</v>
      </c>
      <c r="D159" s="27">
        <v>3</v>
      </c>
      <c r="E159" s="6">
        <f t="shared" si="3"/>
        <v>199.86805111977694</v>
      </c>
      <c r="H159" s="27"/>
      <c r="I159" s="27">
        <v>3</v>
      </c>
      <c r="J159" s="27">
        <v>5</v>
      </c>
      <c r="K159" s="27">
        <v>2</v>
      </c>
      <c r="L159" s="59">
        <f t="shared" si="5"/>
        <v>226.67648749236113</v>
      </c>
      <c r="M159" s="48">
        <f t="shared" si="4"/>
        <v>0.5423541590278091</v>
      </c>
      <c r="N159" s="20"/>
    </row>
    <row r="160" spans="1:14" ht="12.75">
      <c r="A160" s="27">
        <v>127</v>
      </c>
      <c r="B160" s="25">
        <v>3</v>
      </c>
      <c r="C160" s="27">
        <v>1</v>
      </c>
      <c r="D160" s="27">
        <v>3</v>
      </c>
      <c r="E160" s="6">
        <f t="shared" si="3"/>
        <v>202.95444182973125</v>
      </c>
      <c r="H160" s="27"/>
      <c r="I160" s="27">
        <v>5</v>
      </c>
      <c r="J160" s="34">
        <v>2</v>
      </c>
      <c r="K160" s="27">
        <v>3</v>
      </c>
      <c r="L160" s="59">
        <f t="shared" si="5"/>
        <v>230.36533333333333</v>
      </c>
      <c r="M160" s="48">
        <f t="shared" si="4"/>
        <v>3.688845840972192</v>
      </c>
      <c r="N160" s="20"/>
    </row>
    <row r="161" spans="1:14" ht="12.75">
      <c r="A161" s="27">
        <v>128</v>
      </c>
      <c r="B161" s="25">
        <v>3</v>
      </c>
      <c r="C161" s="34">
        <v>2</v>
      </c>
      <c r="D161" s="27">
        <v>3</v>
      </c>
      <c r="E161" s="6">
        <f t="shared" si="3"/>
        <v>211.94411588533842</v>
      </c>
      <c r="H161" s="27"/>
      <c r="I161" s="27">
        <v>4</v>
      </c>
      <c r="J161" s="27">
        <v>3</v>
      </c>
      <c r="K161" s="27">
        <v>3</v>
      </c>
      <c r="L161" s="59">
        <f t="shared" si="5"/>
        <v>233.88318263855095</v>
      </c>
      <c r="M161" s="48">
        <f t="shared" si="4"/>
        <v>3.5178493052176236</v>
      </c>
      <c r="N161" s="20"/>
    </row>
    <row r="162" spans="1:14" ht="12.75">
      <c r="A162" s="27">
        <v>129</v>
      </c>
      <c r="B162" s="25">
        <v>3</v>
      </c>
      <c r="C162" s="27">
        <v>3</v>
      </c>
      <c r="D162" s="27">
        <v>3</v>
      </c>
      <c r="E162" s="6">
        <f aca="true" t="shared" si="7" ref="E162:E225">(M$27/2)*SQRT(((B162/G$5)^2)+((C162/G$6)^2)+((D162/G$7)^2))</f>
        <v>226.13413333333332</v>
      </c>
      <c r="H162" s="27"/>
      <c r="I162" s="27">
        <v>4</v>
      </c>
      <c r="J162" s="27">
        <v>5</v>
      </c>
      <c r="K162" s="27">
        <v>2</v>
      </c>
      <c r="L162" s="59">
        <f t="shared" si="5"/>
        <v>234.40760833342114</v>
      </c>
      <c r="M162" s="48">
        <f t="shared" si="4"/>
        <v>0.5244256948701889</v>
      </c>
      <c r="N162" s="20"/>
    </row>
    <row r="163" spans="1:14" ht="12.75">
      <c r="A163" s="27">
        <v>130</v>
      </c>
      <c r="B163" s="25">
        <v>3</v>
      </c>
      <c r="C163" s="34">
        <v>4</v>
      </c>
      <c r="D163" s="27">
        <v>3</v>
      </c>
      <c r="E163" s="6">
        <f t="shared" si="7"/>
        <v>244.62117540887127</v>
      </c>
      <c r="H163" s="27"/>
      <c r="I163" s="35">
        <v>0</v>
      </c>
      <c r="J163" s="34">
        <v>4</v>
      </c>
      <c r="K163" s="27">
        <v>3</v>
      </c>
      <c r="L163" s="59">
        <f>(M$27/2)*SQRT(((I163/$G$5)^2)+((J163/$G$6)^2)+((K163/$G$7)^2))</f>
        <v>235.06666666666666</v>
      </c>
      <c r="M163" s="48">
        <f aca="true" t="shared" si="8" ref="M163:M226">L163-L162</f>
        <v>0.6590583332455253</v>
      </c>
      <c r="N163" s="20"/>
    </row>
    <row r="164" spans="1:14" ht="12.75">
      <c r="A164" s="27">
        <v>131</v>
      </c>
      <c r="B164" s="25">
        <v>3</v>
      </c>
      <c r="C164" s="27">
        <v>5</v>
      </c>
      <c r="D164" s="27">
        <v>3</v>
      </c>
      <c r="E164" s="6">
        <f t="shared" si="7"/>
        <v>266.5125285205515</v>
      </c>
      <c r="H164" s="27"/>
      <c r="I164" s="34">
        <v>1</v>
      </c>
      <c r="J164" s="34">
        <v>4</v>
      </c>
      <c r="K164" s="27">
        <v>3</v>
      </c>
      <c r="L164" s="59">
        <f>(M$27/2)*SQRT(((I164/$G$5)^2)+((J164/$G$6)^2)+((K164/$G$7)^2))</f>
        <v>236.14736963755868</v>
      </c>
      <c r="M164" s="48">
        <f t="shared" si="8"/>
        <v>1.0807029708920197</v>
      </c>
      <c r="N164" s="20"/>
    </row>
    <row r="165" spans="1:14" ht="12.75">
      <c r="A165" s="27">
        <v>132</v>
      </c>
      <c r="B165" s="25">
        <v>3</v>
      </c>
      <c r="C165" s="34">
        <v>0</v>
      </c>
      <c r="D165" s="27">
        <v>4</v>
      </c>
      <c r="E165" s="6">
        <f t="shared" si="7"/>
        <v>259.7164124301317</v>
      </c>
      <c r="H165" s="27"/>
      <c r="I165" s="34">
        <v>2</v>
      </c>
      <c r="J165" s="34">
        <v>4</v>
      </c>
      <c r="K165" s="27">
        <v>3</v>
      </c>
      <c r="L165" s="59">
        <f>(M$27/2)*SQRT(((I165/$G$5)^2)+((J165/$G$6)^2)+((K165/$G$7)^2))</f>
        <v>239.36020432314513</v>
      </c>
      <c r="M165" s="48">
        <f t="shared" si="8"/>
        <v>3.2128346855864436</v>
      </c>
      <c r="N165" s="20"/>
    </row>
    <row r="166" spans="1:14" ht="12.75">
      <c r="A166" s="27">
        <v>133</v>
      </c>
      <c r="B166" s="25">
        <v>3</v>
      </c>
      <c r="C166" s="27">
        <v>1</v>
      </c>
      <c r="D166" s="27">
        <v>4</v>
      </c>
      <c r="E166" s="6">
        <f t="shared" si="7"/>
        <v>262.09899367524906</v>
      </c>
      <c r="H166" s="27"/>
      <c r="I166" s="27">
        <v>5</v>
      </c>
      <c r="J166" s="27">
        <v>3</v>
      </c>
      <c r="K166" s="27">
        <v>3</v>
      </c>
      <c r="L166" s="59">
        <f t="shared" si="5"/>
        <v>243.48413665324847</v>
      </c>
      <c r="M166" s="48">
        <f t="shared" si="8"/>
        <v>4.123932330103344</v>
      </c>
      <c r="N166" s="20"/>
    </row>
    <row r="167" spans="1:14" ht="12.75">
      <c r="A167" s="27">
        <v>134</v>
      </c>
      <c r="B167" s="25">
        <v>3</v>
      </c>
      <c r="C167" s="34">
        <v>2</v>
      </c>
      <c r="D167" s="27">
        <v>4</v>
      </c>
      <c r="E167" s="6">
        <f t="shared" si="7"/>
        <v>269.1202060150413</v>
      </c>
      <c r="H167" s="27"/>
      <c r="I167" s="27">
        <v>5</v>
      </c>
      <c r="J167" s="27">
        <v>5</v>
      </c>
      <c r="K167" s="27">
        <v>2</v>
      </c>
      <c r="L167" s="59">
        <f>(M$27/2)*SQRT(((I167/$G$5)^2)+((J167/$G$6)^2)+((K167/$G$7)^2))</f>
        <v>243.98792700712585</v>
      </c>
      <c r="M167" s="48">
        <f t="shared" si="8"/>
        <v>0.5037903538773776</v>
      </c>
      <c r="N167" s="20"/>
    </row>
    <row r="168" spans="1:14" ht="12.75">
      <c r="A168" s="27">
        <v>135</v>
      </c>
      <c r="B168" s="25">
        <v>3</v>
      </c>
      <c r="C168" s="27">
        <v>3</v>
      </c>
      <c r="D168" s="27">
        <v>4</v>
      </c>
      <c r="E168" s="6">
        <f t="shared" si="7"/>
        <v>280.4318514106026</v>
      </c>
      <c r="H168" s="27"/>
      <c r="I168" s="27">
        <v>3</v>
      </c>
      <c r="J168" s="34">
        <v>4</v>
      </c>
      <c r="K168" s="27">
        <v>3</v>
      </c>
      <c r="L168" s="59">
        <f t="shared" si="5"/>
        <v>244.62117540887127</v>
      </c>
      <c r="M168" s="48">
        <f t="shared" si="8"/>
        <v>0.6332484017454192</v>
      </c>
      <c r="N168" s="20"/>
    </row>
    <row r="169" spans="1:14" ht="12.75">
      <c r="A169" s="27">
        <v>136</v>
      </c>
      <c r="B169" s="25">
        <v>3</v>
      </c>
      <c r="C169" s="34">
        <v>4</v>
      </c>
      <c r="D169" s="27">
        <v>4</v>
      </c>
      <c r="E169" s="6">
        <f t="shared" si="7"/>
        <v>295.5417000789876</v>
      </c>
      <c r="H169" s="27"/>
      <c r="I169" s="43">
        <v>0</v>
      </c>
      <c r="J169" s="24">
        <v>0</v>
      </c>
      <c r="K169" s="1">
        <v>4</v>
      </c>
      <c r="L169" s="58">
        <f>(M$27/2)*SQRT(((I169/$G$5)^2)+((J169/$G$6)^2)+((K169/$G$7)^2))</f>
        <v>250.73777777777775</v>
      </c>
      <c r="M169" s="48">
        <f t="shared" si="8"/>
        <v>6.116602368906484</v>
      </c>
      <c r="N169" s="20"/>
    </row>
    <row r="170" spans="1:14" ht="12.75">
      <c r="A170" s="27">
        <v>137</v>
      </c>
      <c r="B170" s="25">
        <v>3</v>
      </c>
      <c r="C170" s="27">
        <v>5</v>
      </c>
      <c r="D170" s="27">
        <v>4</v>
      </c>
      <c r="E170" s="6">
        <f t="shared" si="7"/>
        <v>313.90174399894346</v>
      </c>
      <c r="H170" s="27"/>
      <c r="I170" s="34">
        <v>1</v>
      </c>
      <c r="J170" s="34">
        <v>0</v>
      </c>
      <c r="K170" s="27">
        <v>4</v>
      </c>
      <c r="L170" s="59">
        <f>(M$27/2)*SQRT(((I170/$G$5)^2)+((J170/$G$6)^2)+((K170/$G$7)^2))</f>
        <v>251.75121770092446</v>
      </c>
      <c r="M170" s="48">
        <f t="shared" si="8"/>
        <v>1.0134399231467057</v>
      </c>
      <c r="N170" s="20"/>
    </row>
    <row r="171" spans="1:14" ht="12.75">
      <c r="A171" s="27">
        <v>138</v>
      </c>
      <c r="B171" s="25">
        <v>3</v>
      </c>
      <c r="C171" s="34">
        <v>0</v>
      </c>
      <c r="D171" s="27">
        <v>5</v>
      </c>
      <c r="E171" s="6">
        <f t="shared" si="7"/>
        <v>320.6503875927114</v>
      </c>
      <c r="H171" s="27"/>
      <c r="I171" s="27">
        <v>4</v>
      </c>
      <c r="J171" s="34">
        <v>4</v>
      </c>
      <c r="K171" s="27">
        <v>3</v>
      </c>
      <c r="L171" s="59">
        <f t="shared" si="5"/>
        <v>251.80193867628932</v>
      </c>
      <c r="M171" s="48">
        <f t="shared" si="8"/>
        <v>0.05072097536486808</v>
      </c>
      <c r="N171" s="20"/>
    </row>
    <row r="172" spans="1:14" ht="12.75">
      <c r="A172" s="27">
        <v>139</v>
      </c>
      <c r="B172" s="25">
        <v>3</v>
      </c>
      <c r="C172" s="27">
        <v>1</v>
      </c>
      <c r="D172" s="27">
        <v>5</v>
      </c>
      <c r="E172" s="6">
        <f t="shared" si="7"/>
        <v>322.58322749851095</v>
      </c>
      <c r="H172" s="27"/>
      <c r="I172" s="35">
        <v>0</v>
      </c>
      <c r="J172" s="27">
        <v>1</v>
      </c>
      <c r="K172" s="27">
        <v>4</v>
      </c>
      <c r="L172" s="59">
        <f>(M$27/2)*SQRT(((I172/$G$5)^2)+((J172/$G$6)^2)+((K172/$G$7)^2))</f>
        <v>253.2048593628058</v>
      </c>
      <c r="M172" s="48">
        <f t="shared" si="8"/>
        <v>1.4029206865164667</v>
      </c>
      <c r="N172" s="20"/>
    </row>
    <row r="173" spans="1:14" ht="12.75">
      <c r="A173" s="27">
        <v>140</v>
      </c>
      <c r="B173" s="25">
        <v>3</v>
      </c>
      <c r="C173" s="34">
        <v>2</v>
      </c>
      <c r="D173" s="27">
        <v>5</v>
      </c>
      <c r="E173" s="6">
        <f t="shared" si="7"/>
        <v>328.3134804776618</v>
      </c>
      <c r="H173" s="27"/>
      <c r="I173" s="34">
        <v>1</v>
      </c>
      <c r="J173" s="27">
        <v>1</v>
      </c>
      <c r="K173" s="27">
        <v>4</v>
      </c>
      <c r="L173" s="59">
        <f>(M$27/2)*SQRT(((I173/$G$5)^2)+((J173/$G$6)^2)+((K173/$G$7)^2))</f>
        <v>254.20846408783925</v>
      </c>
      <c r="M173" s="48">
        <f t="shared" si="8"/>
        <v>1.0036047250334548</v>
      </c>
      <c r="N173" s="20"/>
    </row>
    <row r="174" spans="1:14" ht="12.75">
      <c r="A174" s="27">
        <v>141</v>
      </c>
      <c r="B174" s="25">
        <v>3</v>
      </c>
      <c r="C174" s="27">
        <v>3</v>
      </c>
      <c r="D174" s="27">
        <v>5</v>
      </c>
      <c r="E174" s="6">
        <f t="shared" si="7"/>
        <v>337.6478631108985</v>
      </c>
      <c r="H174" s="27"/>
      <c r="I174" s="34">
        <v>2</v>
      </c>
      <c r="J174" s="34">
        <v>0</v>
      </c>
      <c r="K174" s="27">
        <v>4</v>
      </c>
      <c r="L174" s="59">
        <f>(M$27/2)*SQRT(((I174/$G$5)^2)+((J174/$G$6)^2)+((K174/$G$7)^2))</f>
        <v>254.76735042147425</v>
      </c>
      <c r="M174" s="48">
        <f t="shared" si="8"/>
        <v>0.5588863336350016</v>
      </c>
      <c r="N174" s="20"/>
    </row>
    <row r="175" spans="1:14" ht="12.75">
      <c r="A175" s="27">
        <v>142</v>
      </c>
      <c r="B175" s="25">
        <v>3</v>
      </c>
      <c r="C175" s="34">
        <v>4</v>
      </c>
      <c r="D175" s="27">
        <v>5</v>
      </c>
      <c r="E175" s="6">
        <f t="shared" si="7"/>
        <v>350.29837662106866</v>
      </c>
      <c r="H175" s="27"/>
      <c r="I175" s="34">
        <v>2</v>
      </c>
      <c r="J175" s="27">
        <v>1</v>
      </c>
      <c r="K175" s="27">
        <v>4</v>
      </c>
      <c r="L175" s="59">
        <f>(M$27/2)*SQRT(((I175/$G$5)^2)+((J175/$G$6)^2)+((K175/$G$7)^2))</f>
        <v>257.19578231529823</v>
      </c>
      <c r="M175" s="48">
        <f t="shared" si="8"/>
        <v>2.4284318938239835</v>
      </c>
      <c r="N175" s="20"/>
    </row>
    <row r="176" spans="1:14" ht="12.75">
      <c r="A176" s="27">
        <v>143</v>
      </c>
      <c r="B176" s="25">
        <v>3</v>
      </c>
      <c r="C176" s="27">
        <v>5</v>
      </c>
      <c r="D176" s="27">
        <v>5</v>
      </c>
      <c r="E176" s="6">
        <f t="shared" si="7"/>
        <v>365.92124981115273</v>
      </c>
      <c r="H176" s="27"/>
      <c r="I176" s="35">
        <v>0</v>
      </c>
      <c r="J176" s="27">
        <v>5</v>
      </c>
      <c r="K176" s="27">
        <v>3</v>
      </c>
      <c r="L176" s="59">
        <f t="shared" si="5"/>
        <v>257.77072405100193</v>
      </c>
      <c r="M176" s="48">
        <f t="shared" si="8"/>
        <v>0.5749417357037032</v>
      </c>
      <c r="N176" s="20"/>
    </row>
    <row r="177" spans="1:14" ht="12.75">
      <c r="A177" s="27">
        <v>144</v>
      </c>
      <c r="B177" s="25">
        <v>4</v>
      </c>
      <c r="C177" s="34">
        <v>0</v>
      </c>
      <c r="D177" s="34">
        <v>0</v>
      </c>
      <c r="E177" s="6">
        <f t="shared" si="7"/>
        <v>90.26559999999999</v>
      </c>
      <c r="H177" s="27"/>
      <c r="I177" s="34">
        <v>1</v>
      </c>
      <c r="J177" s="27">
        <v>5</v>
      </c>
      <c r="K177" s="27">
        <v>3</v>
      </c>
      <c r="L177" s="59">
        <f t="shared" si="5"/>
        <v>258.75662037276993</v>
      </c>
      <c r="M177" s="48">
        <f t="shared" si="8"/>
        <v>0.9858963217679957</v>
      </c>
      <c r="N177" s="20"/>
    </row>
    <row r="178" spans="1:14" ht="12.75">
      <c r="A178" s="27">
        <v>145</v>
      </c>
      <c r="B178" s="25">
        <v>4</v>
      </c>
      <c r="C178" s="27">
        <v>1</v>
      </c>
      <c r="D178" s="34">
        <v>0</v>
      </c>
      <c r="E178" s="6">
        <f t="shared" si="7"/>
        <v>96.90792611216071</v>
      </c>
      <c r="H178" s="27"/>
      <c r="I178" s="27">
        <v>3</v>
      </c>
      <c r="J178" s="34">
        <v>0</v>
      </c>
      <c r="K178" s="27">
        <v>4</v>
      </c>
      <c r="L178" s="59">
        <f>(M$27/2)*SQRT(((I178/$G$5)^2)+((J178/$G$6)^2)+((K178/$G$7)^2))</f>
        <v>259.7164124301317</v>
      </c>
      <c r="M178" s="48">
        <f t="shared" si="8"/>
        <v>0.9597920573617671</v>
      </c>
      <c r="N178" s="20"/>
    </row>
    <row r="179" spans="1:14" ht="12.75">
      <c r="A179" s="27">
        <v>146</v>
      </c>
      <c r="B179" s="25">
        <v>4</v>
      </c>
      <c r="C179" s="34">
        <v>2</v>
      </c>
      <c r="D179" s="34">
        <v>0</v>
      </c>
      <c r="E179" s="6">
        <f t="shared" si="7"/>
        <v>114.54671074875961</v>
      </c>
      <c r="H179" s="27"/>
      <c r="I179" s="35">
        <v>0</v>
      </c>
      <c r="J179" s="34">
        <v>2</v>
      </c>
      <c r="K179" s="27">
        <v>4</v>
      </c>
      <c r="L179" s="59">
        <f>(M$27/2)*SQRT(((I179/$G$5)^2)+((J179/$G$6)^2)+((K179/$G$7)^2))</f>
        <v>260.46593559415453</v>
      </c>
      <c r="M179" s="48">
        <f t="shared" si="8"/>
        <v>0.7495231640228326</v>
      </c>
      <c r="N179" s="20"/>
    </row>
    <row r="180" spans="1:14" ht="12.75">
      <c r="A180" s="27">
        <v>147</v>
      </c>
      <c r="B180" s="25">
        <v>4</v>
      </c>
      <c r="C180" s="27">
        <v>3</v>
      </c>
      <c r="D180" s="34">
        <v>0</v>
      </c>
      <c r="E180" s="6">
        <f t="shared" si="7"/>
        <v>139.0585737858691</v>
      </c>
      <c r="H180" s="27"/>
      <c r="I180" s="27">
        <v>5</v>
      </c>
      <c r="J180" s="34">
        <v>4</v>
      </c>
      <c r="K180" s="27">
        <v>3</v>
      </c>
      <c r="L180" s="59">
        <f t="shared" si="5"/>
        <v>260.74393185993375</v>
      </c>
      <c r="M180" s="48">
        <f t="shared" si="8"/>
        <v>0.27799626577922254</v>
      </c>
      <c r="N180" s="20"/>
    </row>
    <row r="181" spans="1:14" ht="12.75">
      <c r="A181" s="27">
        <v>148</v>
      </c>
      <c r="B181" s="25">
        <v>4</v>
      </c>
      <c r="C181" s="34">
        <v>4</v>
      </c>
      <c r="D181" s="34">
        <v>0</v>
      </c>
      <c r="E181" s="6">
        <f t="shared" si="7"/>
        <v>167.45196368917266</v>
      </c>
      <c r="H181" s="27"/>
      <c r="I181" s="34">
        <v>1</v>
      </c>
      <c r="J181" s="34">
        <v>2</v>
      </c>
      <c r="K181" s="27">
        <v>4</v>
      </c>
      <c r="L181" s="59">
        <f>(M$27/2)*SQRT(((I181/$G$5)^2)+((J181/$G$6)^2)+((K181/$G$7)^2))</f>
        <v>261.44166847290865</v>
      </c>
      <c r="M181" s="48">
        <f t="shared" si="8"/>
        <v>0.697736612974893</v>
      </c>
      <c r="N181" s="20"/>
    </row>
    <row r="182" spans="1:14" ht="12.75">
      <c r="A182" s="27">
        <v>149</v>
      </c>
      <c r="B182" s="25">
        <v>4</v>
      </c>
      <c r="C182" s="27">
        <v>5</v>
      </c>
      <c r="D182" s="34">
        <v>0</v>
      </c>
      <c r="E182" s="6">
        <f t="shared" si="7"/>
        <v>198.06455650459017</v>
      </c>
      <c r="H182" s="27"/>
      <c r="I182" s="34">
        <v>2</v>
      </c>
      <c r="J182" s="27">
        <v>5</v>
      </c>
      <c r="K182" s="27">
        <v>3</v>
      </c>
      <c r="L182" s="59">
        <f t="shared" si="5"/>
        <v>261.69202474209595</v>
      </c>
      <c r="M182" s="48">
        <f t="shared" si="8"/>
        <v>0.25035626918730713</v>
      </c>
      <c r="N182" s="20"/>
    </row>
    <row r="183" spans="1:14" ht="12.75">
      <c r="A183" s="27">
        <v>150</v>
      </c>
      <c r="B183" s="25">
        <v>4</v>
      </c>
      <c r="C183" s="34">
        <v>0</v>
      </c>
      <c r="D183" s="34">
        <v>1</v>
      </c>
      <c r="E183" s="6">
        <f t="shared" si="7"/>
        <v>109.89639720513425</v>
      </c>
      <c r="H183" s="27"/>
      <c r="I183" s="27">
        <v>3</v>
      </c>
      <c r="J183" s="27">
        <v>1</v>
      </c>
      <c r="K183" s="27">
        <v>4</v>
      </c>
      <c r="L183" s="59">
        <f>(M$27/2)*SQRT(((I183/$G$5)^2)+((J183/$G$6)^2)+((K183/$G$7)^2))</f>
        <v>262.09899367524906</v>
      </c>
      <c r="M183" s="48">
        <f t="shared" si="8"/>
        <v>0.40696893315310945</v>
      </c>
      <c r="N183" s="20"/>
    </row>
    <row r="184" spans="1:14" ht="12.75">
      <c r="A184" s="27">
        <v>151</v>
      </c>
      <c r="B184" s="25">
        <v>4</v>
      </c>
      <c r="C184" s="27">
        <v>1</v>
      </c>
      <c r="D184" s="27">
        <v>1</v>
      </c>
      <c r="E184" s="6">
        <f t="shared" si="7"/>
        <v>115.41440862677692</v>
      </c>
      <c r="H184" s="27"/>
      <c r="I184" s="34">
        <v>2</v>
      </c>
      <c r="J184" s="34">
        <v>2</v>
      </c>
      <c r="K184" s="27">
        <v>4</v>
      </c>
      <c r="L184" s="59">
        <f>(M$27/2)*SQRT(((I184/$G$5)^2)+((J184/$G$6)^2)+((K184/$G$7)^2))</f>
        <v>264.347258810789</v>
      </c>
      <c r="M184" s="48">
        <f t="shared" si="8"/>
        <v>2.2482651355399526</v>
      </c>
      <c r="N184" s="20"/>
    </row>
    <row r="185" spans="1:14" ht="12.75">
      <c r="A185" s="27">
        <v>152</v>
      </c>
      <c r="B185" s="25">
        <v>4</v>
      </c>
      <c r="C185" s="34">
        <v>2</v>
      </c>
      <c r="D185" s="27">
        <v>1</v>
      </c>
      <c r="E185" s="6">
        <f t="shared" si="7"/>
        <v>130.5767533624138</v>
      </c>
      <c r="H185" s="27"/>
      <c r="I185" s="27">
        <v>4</v>
      </c>
      <c r="J185" s="34">
        <v>0</v>
      </c>
      <c r="K185" s="27">
        <v>4</v>
      </c>
      <c r="L185" s="59">
        <f t="shared" si="5"/>
        <v>266.49073482636925</v>
      </c>
      <c r="M185" s="48">
        <f t="shared" si="8"/>
        <v>2.1434760155802337</v>
      </c>
      <c r="N185" s="20"/>
    </row>
    <row r="186" spans="1:14" ht="12.75">
      <c r="A186" s="27">
        <v>153</v>
      </c>
      <c r="B186" s="25">
        <v>4</v>
      </c>
      <c r="C186" s="27">
        <v>3</v>
      </c>
      <c r="D186" s="27">
        <v>1</v>
      </c>
      <c r="E186" s="6">
        <f t="shared" si="7"/>
        <v>152.53401757859993</v>
      </c>
      <c r="H186" s="27"/>
      <c r="I186" s="27">
        <v>3</v>
      </c>
      <c r="J186" s="27">
        <v>5</v>
      </c>
      <c r="K186" s="27">
        <v>3</v>
      </c>
      <c r="L186" s="59">
        <f t="shared" si="5"/>
        <v>266.5125285205515</v>
      </c>
      <c r="M186" s="48">
        <f t="shared" si="8"/>
        <v>0.021793694182235868</v>
      </c>
      <c r="N186" s="20"/>
    </row>
    <row r="187" spans="1:14" ht="12.75">
      <c r="A187" s="27">
        <v>154</v>
      </c>
      <c r="B187" s="25">
        <v>4</v>
      </c>
      <c r="C187" s="34">
        <v>4</v>
      </c>
      <c r="D187" s="27">
        <v>1</v>
      </c>
      <c r="E187" s="6">
        <f t="shared" si="7"/>
        <v>178.8001669984361</v>
      </c>
      <c r="H187" s="27"/>
      <c r="I187" s="27">
        <v>4</v>
      </c>
      <c r="J187" s="27">
        <v>1</v>
      </c>
      <c r="K187" s="27">
        <v>4</v>
      </c>
      <c r="L187" s="59">
        <f t="shared" si="5"/>
        <v>268.8132797097239</v>
      </c>
      <c r="M187" s="48">
        <f t="shared" si="8"/>
        <v>2.300751189172388</v>
      </c>
      <c r="N187" s="20"/>
    </row>
    <row r="188" spans="1:14" ht="12.75">
      <c r="A188" s="27">
        <v>155</v>
      </c>
      <c r="B188" s="25">
        <v>4</v>
      </c>
      <c r="C188" s="27">
        <v>5</v>
      </c>
      <c r="D188" s="27">
        <v>1</v>
      </c>
      <c r="E188" s="6">
        <f t="shared" si="7"/>
        <v>207.74722168700268</v>
      </c>
      <c r="H188" s="27"/>
      <c r="I188" s="27">
        <v>3</v>
      </c>
      <c r="J188" s="34">
        <v>2</v>
      </c>
      <c r="K188" s="27">
        <v>4</v>
      </c>
      <c r="L188" s="59">
        <f t="shared" si="5"/>
        <v>269.1202060150413</v>
      </c>
      <c r="M188" s="48">
        <f t="shared" si="8"/>
        <v>0.30692630531740406</v>
      </c>
      <c r="N188" s="20"/>
    </row>
    <row r="189" spans="1:14" ht="12.75">
      <c r="A189" s="27">
        <v>156</v>
      </c>
      <c r="B189" s="25">
        <v>4</v>
      </c>
      <c r="C189" s="34">
        <v>0</v>
      </c>
      <c r="D189" s="27">
        <v>2</v>
      </c>
      <c r="E189" s="6">
        <f t="shared" si="7"/>
        <v>154.48377534419132</v>
      </c>
      <c r="H189" s="27"/>
      <c r="I189" s="35">
        <v>0</v>
      </c>
      <c r="J189" s="27">
        <v>3</v>
      </c>
      <c r="K189" s="27">
        <v>4</v>
      </c>
      <c r="L189" s="59">
        <f>(M$27/2)*SQRT(((I189/$G$5)^2)+((J189/$G$6)^2)+((K189/$G$7)^2))</f>
        <v>272.13754170444446</v>
      </c>
      <c r="M189" s="48">
        <f t="shared" si="8"/>
        <v>3.0173356894031826</v>
      </c>
      <c r="N189" s="20"/>
    </row>
    <row r="190" spans="1:14" ht="12.75">
      <c r="A190" s="27">
        <v>157</v>
      </c>
      <c r="B190" s="25">
        <v>4</v>
      </c>
      <c r="C190" s="27">
        <v>1</v>
      </c>
      <c r="D190" s="27">
        <v>2</v>
      </c>
      <c r="E190" s="6">
        <f t="shared" si="7"/>
        <v>158.4566326936003</v>
      </c>
      <c r="H190" s="27"/>
      <c r="I190" s="34">
        <v>1</v>
      </c>
      <c r="J190" s="27">
        <v>3</v>
      </c>
      <c r="K190" s="27">
        <v>4</v>
      </c>
      <c r="L190" s="59">
        <f>(M$27/2)*SQRT(((I190/$G$5)^2)+((J190/$G$6)^2)+((K190/$G$7)^2))</f>
        <v>273.0715730607971</v>
      </c>
      <c r="M190" s="48">
        <f t="shared" si="8"/>
        <v>0.9340313563526479</v>
      </c>
      <c r="N190" s="20"/>
    </row>
    <row r="191" spans="1:14" ht="12.75">
      <c r="A191" s="27">
        <v>158</v>
      </c>
      <c r="B191" s="25">
        <v>4</v>
      </c>
      <c r="C191" s="34">
        <v>2</v>
      </c>
      <c r="D191" s="27">
        <v>2</v>
      </c>
      <c r="E191" s="6">
        <f t="shared" si="7"/>
        <v>169.8184537810734</v>
      </c>
      <c r="H191" s="27"/>
      <c r="I191" s="27">
        <v>4</v>
      </c>
      <c r="J191" s="27">
        <v>5</v>
      </c>
      <c r="K191" s="27">
        <v>3</v>
      </c>
      <c r="L191" s="59">
        <f>(M$27/2)*SQRT(((I191/$G$5)^2)+((J191/$G$6)^2)+((K191/$G$7)^2))</f>
        <v>273.11833464844096</v>
      </c>
      <c r="M191" s="48">
        <f t="shared" si="8"/>
        <v>0.04676158764385718</v>
      </c>
      <c r="N191" s="20"/>
    </row>
    <row r="192" spans="1:14" ht="12.75">
      <c r="A192" s="27">
        <v>159</v>
      </c>
      <c r="B192" s="25">
        <v>4</v>
      </c>
      <c r="C192" s="27">
        <v>3</v>
      </c>
      <c r="D192" s="27">
        <v>2</v>
      </c>
      <c r="E192" s="6">
        <f t="shared" si="7"/>
        <v>187.2288579375374</v>
      </c>
      <c r="H192" s="27"/>
      <c r="I192" s="27">
        <v>5</v>
      </c>
      <c r="J192" s="34">
        <v>0</v>
      </c>
      <c r="K192" s="27">
        <v>4</v>
      </c>
      <c r="L192" s="59">
        <f t="shared" si="5"/>
        <v>274.95543898773536</v>
      </c>
      <c r="M192" s="48">
        <f t="shared" si="8"/>
        <v>1.8371043392943989</v>
      </c>
      <c r="N192" s="20"/>
    </row>
    <row r="193" spans="1:14" ht="12.75">
      <c r="A193" s="27">
        <v>160</v>
      </c>
      <c r="B193" s="25">
        <v>4</v>
      </c>
      <c r="C193" s="34">
        <v>4</v>
      </c>
      <c r="D193" s="27">
        <v>2</v>
      </c>
      <c r="E193" s="6">
        <f t="shared" si="7"/>
        <v>209.18297838159432</v>
      </c>
      <c r="H193" s="27"/>
      <c r="I193" s="27">
        <v>4</v>
      </c>
      <c r="J193" s="34">
        <v>2</v>
      </c>
      <c r="K193" s="27">
        <v>4</v>
      </c>
      <c r="L193" s="59">
        <f t="shared" si="5"/>
        <v>275.66353068242137</v>
      </c>
      <c r="M193" s="48">
        <f t="shared" si="8"/>
        <v>0.7080916946860043</v>
      </c>
      <c r="N193" s="20"/>
    </row>
    <row r="194" spans="1:14" ht="12.75">
      <c r="A194" s="27">
        <v>161</v>
      </c>
      <c r="B194" s="25">
        <v>4</v>
      </c>
      <c r="C194" s="27">
        <v>5</v>
      </c>
      <c r="D194" s="27">
        <v>2</v>
      </c>
      <c r="E194" s="6">
        <f t="shared" si="7"/>
        <v>234.40760833342114</v>
      </c>
      <c r="H194" s="27"/>
      <c r="I194" s="34">
        <v>2</v>
      </c>
      <c r="J194" s="27">
        <v>3</v>
      </c>
      <c r="K194" s="27">
        <v>4</v>
      </c>
      <c r="L194" s="59">
        <f t="shared" si="5"/>
        <v>275.8546922580406</v>
      </c>
      <c r="M194" s="48">
        <f t="shared" si="8"/>
        <v>0.1911615756192191</v>
      </c>
      <c r="N194" s="20"/>
    </row>
    <row r="195" spans="1:14" ht="12.75">
      <c r="A195" s="27">
        <v>162</v>
      </c>
      <c r="B195" s="25">
        <v>4</v>
      </c>
      <c r="C195" s="34">
        <v>0</v>
      </c>
      <c r="D195" s="27">
        <v>3</v>
      </c>
      <c r="E195" s="6">
        <f t="shared" si="7"/>
        <v>208.595145487947</v>
      </c>
      <c r="H195" s="27"/>
      <c r="I195" s="27">
        <v>5</v>
      </c>
      <c r="J195" s="27">
        <v>1</v>
      </c>
      <c r="K195" s="27">
        <v>4</v>
      </c>
      <c r="L195" s="59">
        <f t="shared" si="5"/>
        <v>277.20707247279654</v>
      </c>
      <c r="M195" s="48">
        <f t="shared" si="8"/>
        <v>1.3523802147559536</v>
      </c>
      <c r="N195" s="20"/>
    </row>
    <row r="196" spans="1:14" ht="12.75">
      <c r="A196" s="27">
        <v>163</v>
      </c>
      <c r="B196" s="25">
        <v>4</v>
      </c>
      <c r="C196" s="27">
        <v>1</v>
      </c>
      <c r="D196" s="27">
        <v>3</v>
      </c>
      <c r="E196" s="6">
        <f t="shared" si="7"/>
        <v>211.5542538478907</v>
      </c>
      <c r="H196" s="27"/>
      <c r="I196" s="27">
        <v>3</v>
      </c>
      <c r="J196" s="27">
        <v>3</v>
      </c>
      <c r="K196" s="27">
        <v>4</v>
      </c>
      <c r="L196" s="59">
        <f t="shared" si="5"/>
        <v>280.4318514106026</v>
      </c>
      <c r="M196" s="48">
        <f t="shared" si="8"/>
        <v>3.224778937806036</v>
      </c>
      <c r="N196" s="20"/>
    </row>
    <row r="197" spans="1:14" ht="12.75">
      <c r="A197" s="27">
        <v>164</v>
      </c>
      <c r="B197" s="25">
        <v>4</v>
      </c>
      <c r="C197" s="34">
        <v>2</v>
      </c>
      <c r="D197" s="27">
        <v>3</v>
      </c>
      <c r="E197" s="6">
        <f t="shared" si="7"/>
        <v>220.1931087049224</v>
      </c>
      <c r="H197" s="27"/>
      <c r="I197" s="27">
        <v>5</v>
      </c>
      <c r="J197" s="27">
        <v>5</v>
      </c>
      <c r="K197" s="27">
        <v>3</v>
      </c>
      <c r="L197" s="59">
        <f>(M$27/2)*SQRT(((I197/$G$5)^2)+((J197/$G$6)^2)+((K197/$G$7)^2))</f>
        <v>281.383735140782</v>
      </c>
      <c r="M197" s="48">
        <f t="shared" si="8"/>
        <v>0.9518837301794179</v>
      </c>
      <c r="N197" s="20"/>
    </row>
    <row r="198" spans="1:14" ht="12.75">
      <c r="A198" s="27">
        <v>165</v>
      </c>
      <c r="B198" s="25">
        <v>4</v>
      </c>
      <c r="C198" s="27">
        <v>3</v>
      </c>
      <c r="D198" s="27">
        <v>3</v>
      </c>
      <c r="E198" s="6">
        <f t="shared" si="7"/>
        <v>233.88318263855095</v>
      </c>
      <c r="H198" s="27"/>
      <c r="I198" s="27">
        <v>5</v>
      </c>
      <c r="J198" s="34">
        <v>2</v>
      </c>
      <c r="K198" s="27">
        <v>4</v>
      </c>
      <c r="L198" s="59">
        <f t="shared" si="5"/>
        <v>283.8548287927092</v>
      </c>
      <c r="M198" s="48">
        <f t="shared" si="8"/>
        <v>2.4710936519272195</v>
      </c>
      <c r="N198" s="20"/>
    </row>
    <row r="199" spans="1:14" ht="12.75">
      <c r="A199" s="27">
        <v>166</v>
      </c>
      <c r="B199" s="25">
        <v>4</v>
      </c>
      <c r="C199" s="34">
        <v>4</v>
      </c>
      <c r="D199" s="27">
        <v>3</v>
      </c>
      <c r="E199" s="6">
        <f t="shared" si="7"/>
        <v>251.80193867628932</v>
      </c>
      <c r="H199" s="27"/>
      <c r="I199" s="27">
        <v>4</v>
      </c>
      <c r="J199" s="27">
        <v>3</v>
      </c>
      <c r="K199" s="27">
        <v>4</v>
      </c>
      <c r="L199" s="59">
        <f t="shared" si="5"/>
        <v>286.71714310152134</v>
      </c>
      <c r="M199" s="48">
        <f t="shared" si="8"/>
        <v>2.862314308812131</v>
      </c>
      <c r="N199" s="20"/>
    </row>
    <row r="200" spans="1:14" ht="12.75">
      <c r="A200" s="27">
        <v>167</v>
      </c>
      <c r="B200" s="25">
        <v>4</v>
      </c>
      <c r="C200" s="27">
        <v>5</v>
      </c>
      <c r="D200" s="27">
        <v>3</v>
      </c>
      <c r="E200" s="6">
        <f t="shared" si="7"/>
        <v>273.11833464844096</v>
      </c>
      <c r="H200" s="27"/>
      <c r="I200" s="35">
        <v>0</v>
      </c>
      <c r="J200" s="34">
        <v>4</v>
      </c>
      <c r="K200" s="27">
        <v>4</v>
      </c>
      <c r="L200" s="59">
        <f t="shared" si="5"/>
        <v>287.6833585818586</v>
      </c>
      <c r="M200" s="48">
        <f t="shared" si="8"/>
        <v>0.9662154803372687</v>
      </c>
      <c r="N200" s="20"/>
    </row>
    <row r="201" spans="1:14" ht="12.75">
      <c r="A201" s="27">
        <v>168</v>
      </c>
      <c r="B201" s="25">
        <v>4</v>
      </c>
      <c r="C201" s="34">
        <v>0</v>
      </c>
      <c r="D201" s="27">
        <v>4</v>
      </c>
      <c r="E201" s="6">
        <f t="shared" si="7"/>
        <v>266.49073482636925</v>
      </c>
      <c r="H201" s="27"/>
      <c r="I201" s="34">
        <v>1</v>
      </c>
      <c r="J201" s="34">
        <v>4</v>
      </c>
      <c r="K201" s="27">
        <v>4</v>
      </c>
      <c r="L201" s="59">
        <f t="shared" si="5"/>
        <v>288.56707576211505</v>
      </c>
      <c r="M201" s="48">
        <f t="shared" si="8"/>
        <v>0.8837171802564399</v>
      </c>
      <c r="N201" s="20"/>
    </row>
    <row r="202" spans="1:14" ht="12.75">
      <c r="A202" s="27">
        <v>169</v>
      </c>
      <c r="B202" s="25">
        <v>4</v>
      </c>
      <c r="C202" s="27">
        <v>1</v>
      </c>
      <c r="D202" s="27">
        <v>4</v>
      </c>
      <c r="E202" s="6">
        <f t="shared" si="7"/>
        <v>268.8132797097239</v>
      </c>
      <c r="H202" s="27"/>
      <c r="I202" s="34">
        <v>2</v>
      </c>
      <c r="J202" s="34">
        <v>4</v>
      </c>
      <c r="K202" s="27">
        <v>4</v>
      </c>
      <c r="L202" s="59">
        <f t="shared" si="5"/>
        <v>291.2021367380025</v>
      </c>
      <c r="M202" s="48">
        <f t="shared" si="8"/>
        <v>2.635060975887427</v>
      </c>
      <c r="N202" s="20"/>
    </row>
    <row r="203" spans="1:14" ht="12.75">
      <c r="A203" s="27">
        <v>170</v>
      </c>
      <c r="B203" s="25">
        <v>4</v>
      </c>
      <c r="C203" s="34">
        <v>2</v>
      </c>
      <c r="D203" s="27">
        <v>4</v>
      </c>
      <c r="E203" s="6">
        <f t="shared" si="7"/>
        <v>275.66353068242137</v>
      </c>
      <c r="H203" s="27"/>
      <c r="I203" s="27">
        <v>5</v>
      </c>
      <c r="J203" s="27">
        <v>3</v>
      </c>
      <c r="K203" s="27">
        <v>4</v>
      </c>
      <c r="L203" s="59">
        <f>(M$27/2)*SQRT(((I203/$G$5)^2)+((J203/$G$6)^2)+((K203/$G$7)^2))</f>
        <v>294.6012590416719</v>
      </c>
      <c r="M203" s="48">
        <f t="shared" si="8"/>
        <v>3.399122303669401</v>
      </c>
      <c r="N203" s="20"/>
    </row>
    <row r="204" spans="1:14" ht="12.75">
      <c r="A204" s="27">
        <v>171</v>
      </c>
      <c r="B204" s="25">
        <v>4</v>
      </c>
      <c r="C204" s="27">
        <v>3</v>
      </c>
      <c r="D204" s="27">
        <v>4</v>
      </c>
      <c r="E204" s="6">
        <f t="shared" si="7"/>
        <v>286.71714310152134</v>
      </c>
      <c r="H204" s="27"/>
      <c r="I204" s="27">
        <v>3</v>
      </c>
      <c r="J204" s="34">
        <v>4</v>
      </c>
      <c r="K204" s="27">
        <v>4</v>
      </c>
      <c r="L204" s="59">
        <f t="shared" si="5"/>
        <v>295.5417000789876</v>
      </c>
      <c r="M204" s="48">
        <f t="shared" si="8"/>
        <v>0.9404410373157361</v>
      </c>
      <c r="N204" s="20"/>
    </row>
    <row r="205" spans="1:14" ht="12.75">
      <c r="A205" s="27">
        <v>172</v>
      </c>
      <c r="B205" s="25">
        <v>4</v>
      </c>
      <c r="C205" s="34">
        <v>4</v>
      </c>
      <c r="D205" s="27">
        <v>4</v>
      </c>
      <c r="E205" s="6">
        <f t="shared" si="7"/>
        <v>301.51217777777777</v>
      </c>
      <c r="H205" s="27"/>
      <c r="I205" s="27">
        <v>4</v>
      </c>
      <c r="J205" s="34">
        <v>4</v>
      </c>
      <c r="K205" s="27">
        <v>4</v>
      </c>
      <c r="L205" s="59">
        <f t="shared" si="5"/>
        <v>301.51217777777777</v>
      </c>
      <c r="M205" s="48">
        <f t="shared" si="8"/>
        <v>5.970477698790148</v>
      </c>
      <c r="N205" s="20"/>
    </row>
    <row r="206" spans="1:14" ht="12.75">
      <c r="A206" s="27">
        <v>173</v>
      </c>
      <c r="B206" s="25">
        <v>4</v>
      </c>
      <c r="C206" s="27">
        <v>5</v>
      </c>
      <c r="D206" s="27">
        <v>4</v>
      </c>
      <c r="E206" s="6">
        <f t="shared" si="7"/>
        <v>319.5293441114576</v>
      </c>
      <c r="H206" s="27"/>
      <c r="I206" s="35">
        <v>0</v>
      </c>
      <c r="J206" s="27">
        <v>5</v>
      </c>
      <c r="K206" s="27">
        <v>4</v>
      </c>
      <c r="L206" s="59">
        <f t="shared" si="5"/>
        <v>306.51447470704915</v>
      </c>
      <c r="M206" s="48">
        <f t="shared" si="8"/>
        <v>5.002296929271381</v>
      </c>
      <c r="N206" s="20"/>
    </row>
    <row r="207" spans="1:14" ht="12.75">
      <c r="A207" s="27">
        <v>174</v>
      </c>
      <c r="B207" s="25">
        <v>4</v>
      </c>
      <c r="C207" s="34">
        <v>0</v>
      </c>
      <c r="D207" s="27">
        <v>5</v>
      </c>
      <c r="E207" s="6">
        <f t="shared" si="7"/>
        <v>326.1615672118284</v>
      </c>
      <c r="H207" s="27"/>
      <c r="I207" s="34">
        <v>1</v>
      </c>
      <c r="J207" s="27">
        <v>5</v>
      </c>
      <c r="K207" s="27">
        <v>4</v>
      </c>
      <c r="L207" s="59">
        <f t="shared" si="5"/>
        <v>307.34405088418134</v>
      </c>
      <c r="M207" s="48">
        <f t="shared" si="8"/>
        <v>0.8295761771321963</v>
      </c>
      <c r="N207" s="20"/>
    </row>
    <row r="208" spans="1:14" ht="12.75">
      <c r="A208" s="27">
        <v>175</v>
      </c>
      <c r="B208" s="25">
        <v>4</v>
      </c>
      <c r="C208" s="27">
        <v>1</v>
      </c>
      <c r="D208" s="27">
        <v>5</v>
      </c>
      <c r="E208" s="6">
        <f t="shared" si="7"/>
        <v>328.0619385513596</v>
      </c>
      <c r="H208" s="27"/>
      <c r="I208" s="27">
        <v>5</v>
      </c>
      <c r="J208" s="34">
        <v>4</v>
      </c>
      <c r="K208" s="27">
        <v>4</v>
      </c>
      <c r="L208" s="59">
        <f>(M$27/2)*SQRT(((I208/$G$5)^2)+((J208/$G$6)^2)+((K208/$G$7)^2))</f>
        <v>309.0190528574869</v>
      </c>
      <c r="M208" s="48">
        <f t="shared" si="8"/>
        <v>1.675001973305541</v>
      </c>
      <c r="N208" s="20"/>
    </row>
    <row r="209" spans="1:14" ht="12.75">
      <c r="A209" s="27">
        <v>176</v>
      </c>
      <c r="B209" s="25">
        <v>4</v>
      </c>
      <c r="C209" s="34">
        <v>2</v>
      </c>
      <c r="D209" s="27">
        <v>5</v>
      </c>
      <c r="E209" s="6">
        <f t="shared" si="7"/>
        <v>333.6981245468366</v>
      </c>
      <c r="H209" s="27"/>
      <c r="I209" s="34">
        <v>2</v>
      </c>
      <c r="J209" s="27">
        <v>5</v>
      </c>
      <c r="K209" s="27">
        <v>4</v>
      </c>
      <c r="L209" s="59">
        <f t="shared" si="5"/>
        <v>309.819452005161</v>
      </c>
      <c r="M209" s="48">
        <f t="shared" si="8"/>
        <v>0.8003991476741135</v>
      </c>
      <c r="N209" s="20"/>
    </row>
    <row r="210" spans="1:14" ht="12.75">
      <c r="A210" s="27">
        <v>177</v>
      </c>
      <c r="B210" s="25">
        <v>4</v>
      </c>
      <c r="C210" s="27">
        <v>3</v>
      </c>
      <c r="D210" s="27">
        <v>5</v>
      </c>
      <c r="E210" s="6">
        <f t="shared" si="7"/>
        <v>342.88595236036724</v>
      </c>
      <c r="H210" s="27"/>
      <c r="I210" s="35">
        <v>0</v>
      </c>
      <c r="J210" s="34">
        <v>0</v>
      </c>
      <c r="K210" s="27">
        <v>5</v>
      </c>
      <c r="L210" s="59">
        <f t="shared" si="5"/>
        <v>313.4222222222222</v>
      </c>
      <c r="M210" s="48">
        <f t="shared" si="8"/>
        <v>3.60277021706122</v>
      </c>
      <c r="N210" s="20"/>
    </row>
    <row r="211" spans="1:14" ht="12.75">
      <c r="A211" s="27">
        <v>178</v>
      </c>
      <c r="B211" s="25">
        <v>4</v>
      </c>
      <c r="C211" s="34">
        <v>4</v>
      </c>
      <c r="D211" s="27">
        <v>5</v>
      </c>
      <c r="E211" s="6">
        <f t="shared" si="7"/>
        <v>355.350038027402</v>
      </c>
      <c r="H211" s="27"/>
      <c r="I211" s="27">
        <v>3</v>
      </c>
      <c r="J211" s="27">
        <v>5</v>
      </c>
      <c r="K211" s="27">
        <v>4</v>
      </c>
      <c r="L211" s="59">
        <f>(M$27/2)*SQRT(((I211/$G$5)^2)+((J211/$G$6)^2)+((K211/$G$7)^2))</f>
        <v>313.90174399894346</v>
      </c>
      <c r="M211" s="48">
        <f t="shared" si="8"/>
        <v>0.4795217767212421</v>
      </c>
      <c r="N211" s="20"/>
    </row>
    <row r="212" spans="1:14" ht="12.75">
      <c r="A212" s="27">
        <v>179</v>
      </c>
      <c r="B212" s="25">
        <v>4</v>
      </c>
      <c r="C212" s="27">
        <v>5</v>
      </c>
      <c r="D212" s="27">
        <v>5</v>
      </c>
      <c r="E212" s="6">
        <f t="shared" si="7"/>
        <v>370.7601083262276</v>
      </c>
      <c r="H212" s="27"/>
      <c r="I212" s="34">
        <v>1</v>
      </c>
      <c r="J212" s="34">
        <v>0</v>
      </c>
      <c r="K212" s="27">
        <v>5</v>
      </c>
      <c r="L212" s="59">
        <f t="shared" si="5"/>
        <v>314.2335624844616</v>
      </c>
      <c r="M212" s="48">
        <f t="shared" si="8"/>
        <v>0.331818485518113</v>
      </c>
      <c r="N212" s="20"/>
    </row>
    <row r="213" spans="1:14" ht="12.75">
      <c r="A213" s="27">
        <v>180</v>
      </c>
      <c r="B213" s="25">
        <v>5</v>
      </c>
      <c r="C213" s="34">
        <v>0</v>
      </c>
      <c r="D213" s="34">
        <v>0</v>
      </c>
      <c r="E213" s="6">
        <f t="shared" si="7"/>
        <v>112.832</v>
      </c>
      <c r="H213" s="27"/>
      <c r="I213" s="35">
        <v>0</v>
      </c>
      <c r="J213" s="27">
        <v>1</v>
      </c>
      <c r="K213" s="27">
        <v>5</v>
      </c>
      <c r="L213" s="59">
        <f t="shared" si="5"/>
        <v>315.3993611006783</v>
      </c>
      <c r="M213" s="48">
        <f t="shared" si="8"/>
        <v>1.1657986162167049</v>
      </c>
      <c r="N213" s="20"/>
    </row>
    <row r="214" spans="1:14" ht="12.75">
      <c r="A214" s="27">
        <v>181</v>
      </c>
      <c r="B214" s="25">
        <v>5</v>
      </c>
      <c r="C214" s="27">
        <v>1</v>
      </c>
      <c r="D214" s="34">
        <v>0</v>
      </c>
      <c r="E214" s="6">
        <f t="shared" si="7"/>
        <v>118.21306113962197</v>
      </c>
      <c r="H214" s="27"/>
      <c r="I214" s="34">
        <v>1</v>
      </c>
      <c r="J214" s="27">
        <v>1</v>
      </c>
      <c r="K214" s="27">
        <v>5</v>
      </c>
      <c r="L214" s="59">
        <f t="shared" si="5"/>
        <v>316.20562833649257</v>
      </c>
      <c r="M214" s="48">
        <f t="shared" si="8"/>
        <v>0.806267235814289</v>
      </c>
      <c r="N214" s="20"/>
    </row>
    <row r="215" spans="1:14" ht="12.75">
      <c r="A215" s="27">
        <v>182</v>
      </c>
      <c r="B215" s="25">
        <v>5</v>
      </c>
      <c r="C215" s="34">
        <v>2</v>
      </c>
      <c r="D215" s="34">
        <v>0</v>
      </c>
      <c r="E215" s="6">
        <f t="shared" si="7"/>
        <v>133.05686988652636</v>
      </c>
      <c r="H215" s="27"/>
      <c r="I215" s="34">
        <v>2</v>
      </c>
      <c r="J215" s="34">
        <v>0</v>
      </c>
      <c r="K215" s="27">
        <v>5</v>
      </c>
      <c r="L215" s="59">
        <f t="shared" si="5"/>
        <v>316.65511052019366</v>
      </c>
      <c r="M215" s="48">
        <f t="shared" si="8"/>
        <v>0.44948218370109316</v>
      </c>
      <c r="N215" s="20"/>
    </row>
    <row r="216" spans="1:14" ht="12.75">
      <c r="A216" s="27">
        <v>183</v>
      </c>
      <c r="B216" s="25">
        <v>5</v>
      </c>
      <c r="C216" s="27">
        <v>3</v>
      </c>
      <c r="D216" s="34">
        <v>0</v>
      </c>
      <c r="E216" s="6">
        <f t="shared" si="7"/>
        <v>154.66243443060117</v>
      </c>
      <c r="H216" s="27"/>
      <c r="I216" s="34">
        <v>2</v>
      </c>
      <c r="J216" s="27">
        <v>1</v>
      </c>
      <c r="K216" s="27">
        <v>5</v>
      </c>
      <c r="L216" s="59">
        <f t="shared" si="5"/>
        <v>318.6121884337698</v>
      </c>
      <c r="M216" s="48">
        <f t="shared" si="8"/>
        <v>1.9570779135761427</v>
      </c>
      <c r="N216" s="20"/>
    </row>
    <row r="217" spans="1:14" ht="12.75">
      <c r="A217" s="27">
        <v>184</v>
      </c>
      <c r="B217" s="25">
        <v>5</v>
      </c>
      <c r="C217" s="34">
        <v>4</v>
      </c>
      <c r="D217" s="34">
        <v>0</v>
      </c>
      <c r="E217" s="6">
        <f t="shared" si="7"/>
        <v>180.6193284895058</v>
      </c>
      <c r="H217" s="27"/>
      <c r="I217" s="27">
        <v>4</v>
      </c>
      <c r="J217" s="27">
        <v>5</v>
      </c>
      <c r="K217" s="27">
        <v>4</v>
      </c>
      <c r="L217" s="59">
        <f>(M$27/2)*SQRT(((I217/$G$5)^2)+((J217/$G$6)^2)+((K217/$G$7)^2))</f>
        <v>319.5293441114576</v>
      </c>
      <c r="M217" s="48">
        <f t="shared" si="8"/>
        <v>0.9171556776877878</v>
      </c>
      <c r="N217" s="20"/>
    </row>
    <row r="218" spans="1:14" ht="12.75">
      <c r="A218" s="27">
        <v>185</v>
      </c>
      <c r="B218" s="25">
        <v>5</v>
      </c>
      <c r="C218" s="27">
        <v>5</v>
      </c>
      <c r="D218" s="34">
        <v>0</v>
      </c>
      <c r="E218" s="6">
        <f t="shared" si="7"/>
        <v>209.31495461146582</v>
      </c>
      <c r="H218" s="27"/>
      <c r="I218" s="27">
        <v>3</v>
      </c>
      <c r="J218" s="34">
        <v>0</v>
      </c>
      <c r="K218" s="27">
        <v>5</v>
      </c>
      <c r="L218" s="59">
        <f t="shared" si="5"/>
        <v>320.6503875927114</v>
      </c>
      <c r="M218" s="48">
        <f t="shared" si="8"/>
        <v>1.121043481253821</v>
      </c>
      <c r="N218" s="20"/>
    </row>
    <row r="219" spans="1:14" ht="12.75">
      <c r="A219" s="27">
        <v>186</v>
      </c>
      <c r="B219" s="25">
        <v>5</v>
      </c>
      <c r="C219" s="34">
        <v>0</v>
      </c>
      <c r="D219" s="34">
        <v>1</v>
      </c>
      <c r="E219" s="6">
        <f t="shared" si="7"/>
        <v>129.07517111864948</v>
      </c>
      <c r="H219" s="27"/>
      <c r="I219" s="35">
        <v>0</v>
      </c>
      <c r="J219" s="34">
        <v>2</v>
      </c>
      <c r="K219" s="27">
        <v>5</v>
      </c>
      <c r="L219" s="59">
        <f t="shared" si="5"/>
        <v>321.2577777777778</v>
      </c>
      <c r="M219" s="48">
        <f t="shared" si="8"/>
        <v>0.6073901850663788</v>
      </c>
      <c r="N219" s="20"/>
    </row>
    <row r="220" spans="1:14" ht="12.75">
      <c r="A220" s="27">
        <v>187</v>
      </c>
      <c r="B220" s="25">
        <v>5</v>
      </c>
      <c r="C220" s="27">
        <v>1</v>
      </c>
      <c r="D220" s="27">
        <v>1</v>
      </c>
      <c r="E220" s="6">
        <f t="shared" si="7"/>
        <v>133.8045866153647</v>
      </c>
      <c r="H220" s="27"/>
      <c r="I220" s="34">
        <v>1</v>
      </c>
      <c r="J220" s="34">
        <v>2</v>
      </c>
      <c r="K220" s="27">
        <v>5</v>
      </c>
      <c r="L220" s="59">
        <f t="shared" si="5"/>
        <v>322.0493784991302</v>
      </c>
      <c r="M220" s="48">
        <f t="shared" si="8"/>
        <v>0.7916007213524381</v>
      </c>
      <c r="N220" s="20"/>
    </row>
    <row r="221" spans="1:14" ht="12.75">
      <c r="A221" s="27">
        <v>188</v>
      </c>
      <c r="B221" s="25">
        <v>5</v>
      </c>
      <c r="C221" s="34">
        <v>2</v>
      </c>
      <c r="D221" s="27">
        <v>1</v>
      </c>
      <c r="E221" s="6">
        <f t="shared" si="7"/>
        <v>147.08320842063733</v>
      </c>
      <c r="H221" s="27"/>
      <c r="I221" s="27">
        <v>3</v>
      </c>
      <c r="J221" s="27">
        <v>1</v>
      </c>
      <c r="K221" s="27">
        <v>5</v>
      </c>
      <c r="L221" s="59">
        <f t="shared" si="5"/>
        <v>322.58322749851095</v>
      </c>
      <c r="M221" s="48">
        <f t="shared" si="8"/>
        <v>0.5338489993807229</v>
      </c>
      <c r="N221" s="20"/>
    </row>
    <row r="222" spans="1:14" ht="12.75">
      <c r="A222" s="27">
        <v>189</v>
      </c>
      <c r="B222" s="25">
        <v>5</v>
      </c>
      <c r="C222" s="27">
        <v>3</v>
      </c>
      <c r="D222" s="27">
        <v>1</v>
      </c>
      <c r="E222" s="6">
        <f t="shared" si="7"/>
        <v>166.8826180262901</v>
      </c>
      <c r="H222" s="27"/>
      <c r="I222" s="34">
        <v>2</v>
      </c>
      <c r="J222" s="34">
        <v>2</v>
      </c>
      <c r="K222" s="27">
        <v>5</v>
      </c>
      <c r="L222" s="59">
        <f t="shared" si="5"/>
        <v>324.41259133787645</v>
      </c>
      <c r="M222" s="48">
        <f t="shared" si="8"/>
        <v>1.8293638393654987</v>
      </c>
      <c r="N222" s="20"/>
    </row>
    <row r="223" spans="1:14" ht="12.75">
      <c r="A223" s="27">
        <v>190</v>
      </c>
      <c r="B223" s="25">
        <v>5</v>
      </c>
      <c r="C223" s="34">
        <v>4</v>
      </c>
      <c r="D223" s="27">
        <v>1</v>
      </c>
      <c r="E223" s="6">
        <f t="shared" si="7"/>
        <v>191.18755555555555</v>
      </c>
      <c r="H223" s="27"/>
      <c r="I223" s="27">
        <v>4</v>
      </c>
      <c r="J223" s="34">
        <v>0</v>
      </c>
      <c r="K223" s="27">
        <v>5</v>
      </c>
      <c r="L223" s="59">
        <f t="shared" si="5"/>
        <v>326.1615672118284</v>
      </c>
      <c r="M223" s="48">
        <f t="shared" si="8"/>
        <v>1.748975873951963</v>
      </c>
      <c r="N223" s="20"/>
    </row>
    <row r="224" spans="1:14" ht="12.75">
      <c r="A224" s="27">
        <v>191</v>
      </c>
      <c r="B224" s="25">
        <v>5</v>
      </c>
      <c r="C224" s="27">
        <v>5</v>
      </c>
      <c r="D224" s="27">
        <v>1</v>
      </c>
      <c r="E224" s="6">
        <f t="shared" si="7"/>
        <v>218.4996334077214</v>
      </c>
      <c r="H224" s="27"/>
      <c r="I224" s="27">
        <v>5</v>
      </c>
      <c r="J224" s="27">
        <v>5</v>
      </c>
      <c r="K224" s="27">
        <v>4</v>
      </c>
      <c r="L224" s="59">
        <f>(M$27/2)*SQRT(((I224/$G$5)^2)+((J224/$G$6)^2)+((K224/$G$7)^2))</f>
        <v>326.6223866010079</v>
      </c>
      <c r="M224" s="48">
        <f t="shared" si="8"/>
        <v>0.4608193891795054</v>
      </c>
      <c r="N224" s="20"/>
    </row>
    <row r="225" spans="1:14" ht="12.75">
      <c r="A225" s="27">
        <v>192</v>
      </c>
      <c r="B225" s="25">
        <v>5</v>
      </c>
      <c r="C225" s="34">
        <v>0</v>
      </c>
      <c r="D225" s="27">
        <v>2</v>
      </c>
      <c r="E225" s="6">
        <f t="shared" si="7"/>
        <v>168.66658983104676</v>
      </c>
      <c r="H225" s="27"/>
      <c r="I225" s="27">
        <v>4</v>
      </c>
      <c r="J225" s="27">
        <v>1</v>
      </c>
      <c r="K225" s="27">
        <v>5</v>
      </c>
      <c r="L225" s="59">
        <f t="shared" si="5"/>
        <v>328.0619385513596</v>
      </c>
      <c r="M225" s="48">
        <f t="shared" si="8"/>
        <v>1.4395519503516994</v>
      </c>
      <c r="N225" s="20"/>
    </row>
    <row r="226" spans="1:14" ht="12.75">
      <c r="A226" s="27">
        <v>193</v>
      </c>
      <c r="B226" s="25">
        <v>5</v>
      </c>
      <c r="C226" s="27">
        <v>1</v>
      </c>
      <c r="D226" s="27">
        <v>2</v>
      </c>
      <c r="E226" s="6">
        <f aca="true" t="shared" si="9" ref="E226:E248">(M$27/2)*SQRT(((B226/G$5)^2)+((C226/G$6)^2)+((D226/G$7)^2))</f>
        <v>172.31275671068167</v>
      </c>
      <c r="H226" s="27"/>
      <c r="I226" s="27">
        <v>3</v>
      </c>
      <c r="J226" s="34">
        <v>2</v>
      </c>
      <c r="K226" s="27">
        <v>5</v>
      </c>
      <c r="L226" s="59">
        <f t="shared" si="5"/>
        <v>328.3134804776618</v>
      </c>
      <c r="M226" s="48">
        <f t="shared" si="8"/>
        <v>0.2515419263021954</v>
      </c>
      <c r="N226" s="20"/>
    </row>
    <row r="227" spans="1:14" ht="12.75">
      <c r="A227" s="27">
        <v>194</v>
      </c>
      <c r="B227" s="25">
        <v>5</v>
      </c>
      <c r="C227" s="34">
        <v>2</v>
      </c>
      <c r="D227" s="27">
        <v>2</v>
      </c>
      <c r="E227" s="6">
        <f t="shared" si="9"/>
        <v>182.81545045546497</v>
      </c>
      <c r="H227" s="27"/>
      <c r="I227" s="35">
        <v>0</v>
      </c>
      <c r="J227" s="27">
        <v>3</v>
      </c>
      <c r="K227" s="27">
        <v>5</v>
      </c>
      <c r="L227" s="59">
        <f t="shared" si="5"/>
        <v>330.7913205976179</v>
      </c>
      <c r="M227" s="48">
        <f aca="true" t="shared" si="10" ref="M227:M248">L227-L226</f>
        <v>2.477840119956113</v>
      </c>
      <c r="N227" s="20"/>
    </row>
    <row r="228" spans="1:14" ht="12.75">
      <c r="A228" s="27">
        <v>195</v>
      </c>
      <c r="B228" s="25">
        <v>5</v>
      </c>
      <c r="C228" s="27">
        <v>3</v>
      </c>
      <c r="D228" s="27">
        <v>2</v>
      </c>
      <c r="E228" s="6">
        <f t="shared" si="9"/>
        <v>199.09250846085237</v>
      </c>
      <c r="H228" s="27"/>
      <c r="I228" s="34">
        <v>1</v>
      </c>
      <c r="J228" s="27">
        <v>3</v>
      </c>
      <c r="K228" s="27">
        <v>5</v>
      </c>
      <c r="L228" s="59">
        <f t="shared" si="5"/>
        <v>331.56016074262607</v>
      </c>
      <c r="M228" s="48">
        <f t="shared" si="10"/>
        <v>0.7688401450081415</v>
      </c>
      <c r="N228" s="20"/>
    </row>
    <row r="229" spans="1:14" ht="12.75">
      <c r="A229" s="27">
        <v>196</v>
      </c>
      <c r="B229" s="25">
        <v>5</v>
      </c>
      <c r="C229" s="34">
        <v>4</v>
      </c>
      <c r="D229" s="27">
        <v>2</v>
      </c>
      <c r="E229" s="6">
        <f t="shared" si="9"/>
        <v>219.86518625110833</v>
      </c>
      <c r="H229" s="27"/>
      <c r="I229" s="27">
        <v>5</v>
      </c>
      <c r="J229" s="34">
        <v>0</v>
      </c>
      <c r="K229" s="27">
        <v>5</v>
      </c>
      <c r="L229" s="59">
        <f>(M$27/2)*SQRT(((I229/$G$5)^2)+((J229/$G$6)^2)+((K229/$G$7)^2))</f>
        <v>333.1134185329616</v>
      </c>
      <c r="M229" s="48">
        <f t="shared" si="10"/>
        <v>1.5532577903355218</v>
      </c>
      <c r="N229" s="20"/>
    </row>
    <row r="230" spans="1:14" ht="12.75">
      <c r="A230" s="27">
        <v>197</v>
      </c>
      <c r="B230" s="25">
        <v>5</v>
      </c>
      <c r="C230" s="27">
        <v>5</v>
      </c>
      <c r="D230" s="27">
        <v>2</v>
      </c>
      <c r="E230" s="6">
        <f t="shared" si="9"/>
        <v>243.98792700712585</v>
      </c>
      <c r="H230" s="27"/>
      <c r="I230" s="27">
        <v>4</v>
      </c>
      <c r="J230" s="34">
        <v>2</v>
      </c>
      <c r="K230" s="27">
        <v>5</v>
      </c>
      <c r="L230" s="59">
        <f t="shared" si="5"/>
        <v>333.6981245468366</v>
      </c>
      <c r="M230" s="48">
        <f t="shared" si="10"/>
        <v>0.5847060138750066</v>
      </c>
      <c r="N230" s="20"/>
    </row>
    <row r="231" spans="1:14" ht="12.75">
      <c r="A231" s="27">
        <v>198</v>
      </c>
      <c r="B231" s="25">
        <v>5</v>
      </c>
      <c r="C231" s="34">
        <v>0</v>
      </c>
      <c r="D231" s="27">
        <v>3</v>
      </c>
      <c r="E231" s="6">
        <f t="shared" si="9"/>
        <v>219.30598806639495</v>
      </c>
      <c r="H231" s="27"/>
      <c r="I231" s="34">
        <v>2</v>
      </c>
      <c r="J231" s="27">
        <v>3</v>
      </c>
      <c r="K231" s="27">
        <v>5</v>
      </c>
      <c r="L231" s="59">
        <f t="shared" si="5"/>
        <v>333.85605793299015</v>
      </c>
      <c r="M231" s="48">
        <f t="shared" si="10"/>
        <v>0.15793338615355879</v>
      </c>
      <c r="N231" s="20"/>
    </row>
    <row r="232" spans="1:14" ht="12.75">
      <c r="A232" s="27">
        <v>199</v>
      </c>
      <c r="B232" s="25">
        <v>5</v>
      </c>
      <c r="C232" s="27">
        <v>1</v>
      </c>
      <c r="D232" s="27">
        <v>3</v>
      </c>
      <c r="E232" s="6">
        <f t="shared" si="9"/>
        <v>222.12245271871498</v>
      </c>
      <c r="H232" s="27"/>
      <c r="I232" s="27">
        <v>5</v>
      </c>
      <c r="J232" s="27">
        <v>1</v>
      </c>
      <c r="K232" s="27">
        <v>5</v>
      </c>
      <c r="L232" s="59">
        <f>(M$27/2)*SQRT(((I232/$G$5)^2)+((J232/$G$6)^2)+((K232/$G$7)^2))</f>
        <v>334.97435305813497</v>
      </c>
      <c r="M232" s="48">
        <f t="shared" si="10"/>
        <v>1.1182951251448117</v>
      </c>
      <c r="N232" s="20"/>
    </row>
    <row r="233" spans="1:14" ht="12.75">
      <c r="A233" s="27">
        <v>200</v>
      </c>
      <c r="B233" s="25">
        <v>5</v>
      </c>
      <c r="C233" s="34">
        <v>2</v>
      </c>
      <c r="D233" s="27">
        <v>3</v>
      </c>
      <c r="E233" s="6">
        <f t="shared" si="9"/>
        <v>230.36533333333333</v>
      </c>
      <c r="H233" s="27"/>
      <c r="I233" s="27">
        <v>3</v>
      </c>
      <c r="J233" s="27">
        <v>3</v>
      </c>
      <c r="K233" s="27">
        <v>5</v>
      </c>
      <c r="L233" s="59">
        <f t="shared" si="5"/>
        <v>337.6478631108985</v>
      </c>
      <c r="M233" s="48">
        <f t="shared" si="10"/>
        <v>2.673510052763561</v>
      </c>
      <c r="N233" s="20"/>
    </row>
    <row r="234" spans="1:14" ht="12.75">
      <c r="A234" s="27">
        <v>201</v>
      </c>
      <c r="B234" s="25">
        <v>5</v>
      </c>
      <c r="C234" s="27">
        <v>3</v>
      </c>
      <c r="D234" s="27">
        <v>3</v>
      </c>
      <c r="E234" s="6">
        <f t="shared" si="9"/>
        <v>243.48413665324847</v>
      </c>
      <c r="H234" s="27"/>
      <c r="I234" s="27">
        <v>5</v>
      </c>
      <c r="J234" s="34">
        <v>2</v>
      </c>
      <c r="K234" s="27">
        <v>5</v>
      </c>
      <c r="L234" s="59">
        <f>(M$27/2)*SQRT(((I234/$G$5)^2)+((J234/$G$6)^2)+((K234/$G$7)^2))</f>
        <v>340.496138020266</v>
      </c>
      <c r="M234" s="48">
        <f t="shared" si="10"/>
        <v>2.8482749093674897</v>
      </c>
      <c r="N234" s="20"/>
    </row>
    <row r="235" spans="1:14" ht="12.75">
      <c r="A235" s="27">
        <v>202</v>
      </c>
      <c r="B235" s="25">
        <v>5</v>
      </c>
      <c r="C235" s="34">
        <v>4</v>
      </c>
      <c r="D235" s="27">
        <v>3</v>
      </c>
      <c r="E235" s="6">
        <f t="shared" si="9"/>
        <v>260.74393185993375</v>
      </c>
      <c r="H235" s="27"/>
      <c r="I235" s="27">
        <v>4</v>
      </c>
      <c r="J235" s="27">
        <v>3</v>
      </c>
      <c r="K235" s="27">
        <v>5</v>
      </c>
      <c r="L235" s="59">
        <f>(M$27/2)*SQRT(((I235/$G$5)^2)+((J235/$G$6)^2)+((K235/$G$7)^2))</f>
        <v>342.88595236036724</v>
      </c>
      <c r="M235" s="48">
        <f t="shared" si="10"/>
        <v>2.389814340101225</v>
      </c>
      <c r="N235" s="20"/>
    </row>
    <row r="236" spans="1:14" ht="12.75">
      <c r="A236" s="27">
        <v>203</v>
      </c>
      <c r="B236" s="25">
        <v>5</v>
      </c>
      <c r="C236" s="27">
        <v>5</v>
      </c>
      <c r="D236" s="27">
        <v>3</v>
      </c>
      <c r="E236" s="6">
        <f t="shared" si="9"/>
        <v>281.383735140782</v>
      </c>
      <c r="H236" s="27"/>
      <c r="I236" s="35">
        <v>0</v>
      </c>
      <c r="J236" s="34">
        <v>4</v>
      </c>
      <c r="K236" s="27">
        <v>5</v>
      </c>
      <c r="L236" s="59">
        <f t="shared" si="5"/>
        <v>343.69429873466925</v>
      </c>
      <c r="M236" s="48">
        <f t="shared" si="10"/>
        <v>0.8083463743020047</v>
      </c>
      <c r="N236" s="20"/>
    </row>
    <row r="237" spans="1:14" ht="12.75">
      <c r="A237" s="27">
        <v>204</v>
      </c>
      <c r="B237" s="25">
        <v>5</v>
      </c>
      <c r="C237" s="34">
        <v>0</v>
      </c>
      <c r="D237" s="27">
        <v>4</v>
      </c>
      <c r="E237" s="6">
        <f t="shared" si="9"/>
        <v>274.95543898773536</v>
      </c>
      <c r="H237" s="27"/>
      <c r="I237" s="34">
        <v>1</v>
      </c>
      <c r="J237" s="34">
        <v>4</v>
      </c>
      <c r="K237" s="27">
        <v>5</v>
      </c>
      <c r="L237" s="59">
        <f t="shared" si="5"/>
        <v>344.4343382876859</v>
      </c>
      <c r="M237" s="48">
        <f t="shared" si="10"/>
        <v>0.7400395530166293</v>
      </c>
      <c r="N237" s="20"/>
    </row>
    <row r="238" spans="1:14" ht="12.75">
      <c r="A238" s="27">
        <v>205</v>
      </c>
      <c r="B238" s="25">
        <v>5</v>
      </c>
      <c r="C238" s="27">
        <v>1</v>
      </c>
      <c r="D238" s="27">
        <v>4</v>
      </c>
      <c r="E238" s="6">
        <f t="shared" si="9"/>
        <v>277.20707247279654</v>
      </c>
      <c r="H238" s="27"/>
      <c r="I238" s="34">
        <v>2</v>
      </c>
      <c r="J238" s="34">
        <v>4</v>
      </c>
      <c r="K238" s="27">
        <v>5</v>
      </c>
      <c r="L238" s="59">
        <f aca="true" t="shared" si="11" ref="L238:L248">(M$27/2)*SQRT(((I238/$G$5)^2)+((J238/$G$6)^2)+((K238/$G$7)^2))</f>
        <v>346.64497777777774</v>
      </c>
      <c r="M238" s="48">
        <f t="shared" si="10"/>
        <v>2.2106394900918644</v>
      </c>
      <c r="N238" s="20"/>
    </row>
    <row r="239" spans="1:14" ht="12.75">
      <c r="A239" s="27">
        <v>206</v>
      </c>
      <c r="B239" s="25">
        <v>5</v>
      </c>
      <c r="C239" s="34">
        <v>2</v>
      </c>
      <c r="D239" s="27">
        <v>4</v>
      </c>
      <c r="E239" s="6">
        <f t="shared" si="9"/>
        <v>283.8548287927092</v>
      </c>
      <c r="H239" s="27"/>
      <c r="I239" s="27">
        <v>5</v>
      </c>
      <c r="J239" s="27">
        <v>3</v>
      </c>
      <c r="K239" s="27">
        <v>5</v>
      </c>
      <c r="L239" s="59">
        <f t="shared" si="11"/>
        <v>349.505304690381</v>
      </c>
      <c r="M239" s="48">
        <f t="shared" si="10"/>
        <v>2.860326912603284</v>
      </c>
      <c r="N239" s="20"/>
    </row>
    <row r="240" spans="1:14" ht="12.75">
      <c r="A240" s="27">
        <v>207</v>
      </c>
      <c r="B240" s="25">
        <v>5</v>
      </c>
      <c r="C240" s="27">
        <v>3</v>
      </c>
      <c r="D240" s="27">
        <v>4</v>
      </c>
      <c r="E240" s="6">
        <f t="shared" si="9"/>
        <v>294.6012590416719</v>
      </c>
      <c r="H240" s="27"/>
      <c r="I240" s="27">
        <v>3</v>
      </c>
      <c r="J240" s="34">
        <v>4</v>
      </c>
      <c r="K240" s="27">
        <v>5</v>
      </c>
      <c r="L240" s="59">
        <f t="shared" si="11"/>
        <v>350.29837662106866</v>
      </c>
      <c r="M240" s="48">
        <f t="shared" si="10"/>
        <v>0.7930719306876313</v>
      </c>
      <c r="N240" s="20"/>
    </row>
    <row r="241" spans="1:14" ht="12.75">
      <c r="A241" s="27">
        <v>208</v>
      </c>
      <c r="B241" s="25">
        <v>5</v>
      </c>
      <c r="C241" s="34">
        <v>4</v>
      </c>
      <c r="D241" s="27">
        <v>4</v>
      </c>
      <c r="E241" s="6">
        <f t="shared" si="9"/>
        <v>309.0190528574869</v>
      </c>
      <c r="H241" s="27"/>
      <c r="I241" s="27">
        <v>4</v>
      </c>
      <c r="J241" s="34">
        <v>4</v>
      </c>
      <c r="K241" s="27">
        <v>5</v>
      </c>
      <c r="L241" s="59">
        <f t="shared" si="11"/>
        <v>355.350038027402</v>
      </c>
      <c r="M241" s="48">
        <f t="shared" si="10"/>
        <v>5.051661406333324</v>
      </c>
      <c r="N241" s="20"/>
    </row>
    <row r="242" spans="1:14" ht="12.75">
      <c r="A242" s="27">
        <v>209</v>
      </c>
      <c r="B242" s="25">
        <v>5</v>
      </c>
      <c r="C242" s="27">
        <v>5</v>
      </c>
      <c r="D242" s="27">
        <v>4</v>
      </c>
      <c r="E242" s="6">
        <f t="shared" si="9"/>
        <v>326.6223866010079</v>
      </c>
      <c r="H242" s="27"/>
      <c r="I242" s="35">
        <v>0</v>
      </c>
      <c r="J242" s="27">
        <v>5</v>
      </c>
      <c r="K242" s="27">
        <v>5</v>
      </c>
      <c r="L242" s="59">
        <f t="shared" si="11"/>
        <v>359.6041982273233</v>
      </c>
      <c r="M242" s="48">
        <f t="shared" si="10"/>
        <v>4.25416019992133</v>
      </c>
      <c r="N242" s="20"/>
    </row>
    <row r="243" spans="1:14" ht="12.75">
      <c r="A243" s="27">
        <v>210</v>
      </c>
      <c r="B243" s="25">
        <v>5</v>
      </c>
      <c r="C243" s="34">
        <v>0</v>
      </c>
      <c r="D243" s="27">
        <v>5</v>
      </c>
      <c r="E243" s="6">
        <f t="shared" si="9"/>
        <v>333.1134185329616</v>
      </c>
      <c r="H243" s="27"/>
      <c r="I243" s="34">
        <v>1</v>
      </c>
      <c r="J243" s="27">
        <v>5</v>
      </c>
      <c r="K243" s="27">
        <v>5</v>
      </c>
      <c r="L243" s="59">
        <f t="shared" si="11"/>
        <v>360.31156211211993</v>
      </c>
      <c r="M243" s="48">
        <f t="shared" si="10"/>
        <v>0.7073638847966208</v>
      </c>
      <c r="N243" s="20"/>
    </row>
    <row r="244" spans="1:14" ht="12.75">
      <c r="A244" s="27">
        <v>211</v>
      </c>
      <c r="B244" s="25">
        <v>5</v>
      </c>
      <c r="C244" s="27">
        <v>1</v>
      </c>
      <c r="D244" s="27">
        <v>5</v>
      </c>
      <c r="E244" s="6">
        <f t="shared" si="9"/>
        <v>334.97435305813497</v>
      </c>
      <c r="H244" s="27"/>
      <c r="I244" s="27">
        <v>5</v>
      </c>
      <c r="J244" s="34">
        <v>4</v>
      </c>
      <c r="K244" s="27">
        <v>5</v>
      </c>
      <c r="L244" s="59">
        <f t="shared" si="11"/>
        <v>361.7413871907886</v>
      </c>
      <c r="M244" s="48">
        <f t="shared" si="10"/>
        <v>1.4298250786686708</v>
      </c>
      <c r="N244" s="20"/>
    </row>
    <row r="245" spans="1:14" ht="12.75">
      <c r="A245" s="27">
        <v>212</v>
      </c>
      <c r="B245" s="25">
        <v>5</v>
      </c>
      <c r="C245" s="34">
        <v>2</v>
      </c>
      <c r="D245" s="27">
        <v>5</v>
      </c>
      <c r="E245" s="6">
        <f t="shared" si="9"/>
        <v>340.496138020266</v>
      </c>
      <c r="H245" s="27"/>
      <c r="I245" s="34">
        <v>2</v>
      </c>
      <c r="J245" s="27">
        <v>5</v>
      </c>
      <c r="K245" s="27">
        <v>5</v>
      </c>
      <c r="L245" s="59">
        <f t="shared" si="11"/>
        <v>362.4253702744278</v>
      </c>
      <c r="M245" s="48">
        <f t="shared" si="10"/>
        <v>0.6839830836391911</v>
      </c>
      <c r="N245" s="20"/>
    </row>
    <row r="246" spans="1:14" ht="12.75">
      <c r="A246" s="27">
        <v>213</v>
      </c>
      <c r="B246" s="25">
        <v>5</v>
      </c>
      <c r="C246" s="27">
        <v>3</v>
      </c>
      <c r="D246" s="27">
        <v>5</v>
      </c>
      <c r="E246" s="6">
        <f t="shared" si="9"/>
        <v>349.505304690381</v>
      </c>
      <c r="H246" s="27"/>
      <c r="I246" s="27">
        <v>3</v>
      </c>
      <c r="J246" s="27">
        <v>5</v>
      </c>
      <c r="K246" s="27">
        <v>5</v>
      </c>
      <c r="L246" s="59">
        <f t="shared" si="11"/>
        <v>365.92124981115273</v>
      </c>
      <c r="M246" s="48">
        <f t="shared" si="10"/>
        <v>3.4958795367249422</v>
      </c>
      <c r="N246" s="20"/>
    </row>
    <row r="247" spans="1:14" ht="12.75">
      <c r="A247" s="27">
        <v>214</v>
      </c>
      <c r="B247" s="25">
        <v>5</v>
      </c>
      <c r="C247" s="34">
        <v>4</v>
      </c>
      <c r="D247" s="27">
        <v>5</v>
      </c>
      <c r="E247" s="6">
        <f t="shared" si="9"/>
        <v>361.7413871907886</v>
      </c>
      <c r="H247" s="27"/>
      <c r="I247" s="27">
        <v>4</v>
      </c>
      <c r="J247" s="27">
        <v>5</v>
      </c>
      <c r="K247" s="27">
        <v>5</v>
      </c>
      <c r="L247" s="59">
        <f t="shared" si="11"/>
        <v>370.7601083262276</v>
      </c>
      <c r="M247" s="48">
        <f t="shared" si="10"/>
        <v>4.8388585150748895</v>
      </c>
      <c r="N247" s="20"/>
    </row>
    <row r="248" spans="1:14" ht="12.75">
      <c r="A248" s="27">
        <v>215</v>
      </c>
      <c r="B248" s="25">
        <v>5</v>
      </c>
      <c r="C248" s="27">
        <v>5</v>
      </c>
      <c r="D248" s="27">
        <v>5</v>
      </c>
      <c r="E248" s="6">
        <f t="shared" si="9"/>
        <v>376.89022222222223</v>
      </c>
      <c r="H248" s="27"/>
      <c r="I248" s="27">
        <v>5</v>
      </c>
      <c r="J248" s="27">
        <v>5</v>
      </c>
      <c r="K248" s="27">
        <v>5</v>
      </c>
      <c r="L248" s="59">
        <f t="shared" si="11"/>
        <v>376.89022222222223</v>
      </c>
      <c r="M248" s="48">
        <f t="shared" si="10"/>
        <v>6.1301138959946115</v>
      </c>
      <c r="N248" s="20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&amp;C&amp;"Arial,Bold"LINKWITZ LAB</oddHeader>
    <oddFooter>&amp;L&amp;F&amp;C&amp;P&amp;R&amp;D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W205"/>
  <sheetViews>
    <sheetView zoomScale="75" zoomScaleNormal="75" workbookViewId="0" topLeftCell="A1">
      <selection activeCell="G62" sqref="G62"/>
    </sheetView>
  </sheetViews>
  <sheetFormatPr defaultColWidth="9.140625" defaultRowHeight="12.75"/>
  <sheetData>
    <row r="2" spans="2:12" ht="12.75">
      <c r="B2" s="1" t="s">
        <v>83</v>
      </c>
      <c r="J2" s="61" t="s">
        <v>105</v>
      </c>
      <c r="K2" s="54"/>
      <c r="L2" s="30"/>
    </row>
    <row r="3" spans="2:12" ht="12.75">
      <c r="B3" s="62" t="s">
        <v>43</v>
      </c>
      <c r="K3" s="30"/>
      <c r="L3" s="30"/>
    </row>
    <row r="4" spans="2:12" ht="12.75">
      <c r="B4" s="62"/>
      <c r="K4" s="30"/>
      <c r="L4" s="30"/>
    </row>
    <row r="5" spans="1:9" ht="12.75">
      <c r="A5" s="62"/>
      <c r="B5" s="131" t="s">
        <v>78</v>
      </c>
      <c r="C5" s="71"/>
      <c r="D5" s="71"/>
      <c r="E5" s="71"/>
      <c r="F5" s="71"/>
      <c r="G5" s="71"/>
      <c r="H5" s="71"/>
      <c r="I5" s="72"/>
    </row>
    <row r="6" spans="2:15" ht="12.75">
      <c r="B6" s="73"/>
      <c r="C6" s="22"/>
      <c r="D6" s="22"/>
      <c r="E6" s="98" t="s">
        <v>1</v>
      </c>
      <c r="F6" s="113">
        <v>23</v>
      </c>
      <c r="G6" s="99" t="s">
        <v>2</v>
      </c>
      <c r="H6" s="93">
        <f>F6*0.305</f>
        <v>7.015</v>
      </c>
      <c r="I6" s="75" t="s">
        <v>3</v>
      </c>
      <c r="J6" s="175"/>
      <c r="K6" s="176"/>
      <c r="L6" s="177" t="s">
        <v>4</v>
      </c>
      <c r="M6" s="178"/>
      <c r="N6" s="178"/>
      <c r="O6" s="179"/>
    </row>
    <row r="7" spans="2:15" ht="12.75">
      <c r="B7" s="100"/>
      <c r="C7" s="22"/>
      <c r="D7" s="43" t="s">
        <v>5</v>
      </c>
      <c r="E7" s="98" t="s">
        <v>6</v>
      </c>
      <c r="F7" s="113">
        <v>17</v>
      </c>
      <c r="G7" s="99" t="s">
        <v>2</v>
      </c>
      <c r="H7" s="93">
        <f>F7*0.305</f>
        <v>5.185</v>
      </c>
      <c r="I7" s="75" t="s">
        <v>3</v>
      </c>
      <c r="J7" s="180" t="s">
        <v>7</v>
      </c>
      <c r="K7" s="181"/>
      <c r="L7" s="182"/>
      <c r="M7" s="183"/>
      <c r="N7" s="184" t="s">
        <v>103</v>
      </c>
      <c r="O7" s="185" t="s">
        <v>104</v>
      </c>
    </row>
    <row r="8" spans="2:15" ht="12.75">
      <c r="B8" s="101"/>
      <c r="C8" s="17"/>
      <c r="D8" s="17"/>
      <c r="E8" s="57" t="s">
        <v>8</v>
      </c>
      <c r="F8" s="114">
        <v>12</v>
      </c>
      <c r="G8" s="90" t="s">
        <v>2</v>
      </c>
      <c r="H8" s="87">
        <f>F8*0.305</f>
        <v>3.66</v>
      </c>
      <c r="I8" s="77" t="s">
        <v>3</v>
      </c>
      <c r="J8" s="186">
        <f>1.1*F7/F8</f>
        <v>1.5583333333333336</v>
      </c>
      <c r="K8" s="187">
        <f>F6/F8</f>
        <v>1.9166666666666667</v>
      </c>
      <c r="L8" s="187">
        <f>(4.5*F7/F8)-4</f>
        <v>2.375</v>
      </c>
      <c r="M8" s="183"/>
      <c r="N8" s="187">
        <f>F6/F8</f>
        <v>1.9166666666666667</v>
      </c>
      <c r="O8" s="188">
        <f>F7/F8</f>
        <v>1.4166666666666667</v>
      </c>
    </row>
    <row r="9" spans="2:12" ht="12.75">
      <c r="B9" s="100"/>
      <c r="C9" s="22"/>
      <c r="D9" s="22"/>
      <c r="E9" s="98"/>
      <c r="F9" s="115"/>
      <c r="G9" s="102"/>
      <c r="H9" s="93"/>
      <c r="I9" s="75"/>
      <c r="J9" s="54"/>
      <c r="K9" s="30"/>
      <c r="L9" s="174" t="s">
        <v>9</v>
      </c>
    </row>
    <row r="10" spans="2:11" ht="13.5" thickBot="1">
      <c r="B10" s="100"/>
      <c r="C10" s="22"/>
      <c r="D10" s="22"/>
      <c r="E10" s="15" t="s">
        <v>10</v>
      </c>
      <c r="F10" s="91">
        <f>H10*10.76</f>
        <v>391.37105899999995</v>
      </c>
      <c r="G10" s="22" t="s">
        <v>11</v>
      </c>
      <c r="H10" s="31">
        <f>H6*H7</f>
        <v>36.372775</v>
      </c>
      <c r="I10" s="75" t="s">
        <v>12</v>
      </c>
      <c r="K10" s="30"/>
    </row>
    <row r="11" spans="2:23" ht="12.75">
      <c r="B11" s="100"/>
      <c r="C11" s="22"/>
      <c r="D11" s="22"/>
      <c r="E11" s="15" t="s">
        <v>13</v>
      </c>
      <c r="F11" s="91">
        <f>H11*35.31</f>
        <v>4700.621028015001</v>
      </c>
      <c r="G11" s="22" t="s">
        <v>14</v>
      </c>
      <c r="H11" s="6">
        <f>H6*H7*H8</f>
        <v>133.1243565</v>
      </c>
      <c r="I11" s="75" t="s">
        <v>15</v>
      </c>
      <c r="K11" s="30"/>
      <c r="L11" s="149"/>
      <c r="M11" s="150"/>
      <c r="N11" s="70"/>
      <c r="O11" s="71"/>
      <c r="P11" s="72"/>
      <c r="Q11" s="172" t="s">
        <v>102</v>
      </c>
      <c r="R11" s="155" t="s">
        <v>95</v>
      </c>
      <c r="S11" s="156">
        <v>0.2</v>
      </c>
      <c r="T11" s="139"/>
      <c r="U11" s="155" t="s">
        <v>95</v>
      </c>
      <c r="V11" s="156">
        <v>0.4</v>
      </c>
      <c r="W11" s="139"/>
    </row>
    <row r="12" spans="2:23" ht="12.75">
      <c r="B12" s="100"/>
      <c r="C12" s="22"/>
      <c r="D12" s="22"/>
      <c r="E12" s="15" t="s">
        <v>16</v>
      </c>
      <c r="F12" s="91">
        <f>H12*10.76</f>
        <v>1743.653158</v>
      </c>
      <c r="G12" s="22" t="s">
        <v>11</v>
      </c>
      <c r="H12" s="6">
        <f>2*(H6*H7+H6*H8+H7*H8)</f>
        <v>162.04955</v>
      </c>
      <c r="I12" s="75" t="s">
        <v>12</v>
      </c>
      <c r="K12" s="30"/>
      <c r="L12" s="154" t="s">
        <v>100</v>
      </c>
      <c r="M12" s="151"/>
      <c r="N12" s="73"/>
      <c r="O12" s="83" t="s">
        <v>97</v>
      </c>
      <c r="P12" s="65" t="s">
        <v>84</v>
      </c>
      <c r="Q12" s="130">
        <v>100</v>
      </c>
      <c r="R12" s="157" t="s">
        <v>94</v>
      </c>
      <c r="S12" s="83" t="s">
        <v>96</v>
      </c>
      <c r="T12" s="158" t="s">
        <v>48</v>
      </c>
      <c r="U12" s="166" t="s">
        <v>94</v>
      </c>
      <c r="V12" s="83" t="s">
        <v>96</v>
      </c>
      <c r="W12" s="158" t="s">
        <v>48</v>
      </c>
    </row>
    <row r="13" spans="2:23" ht="12.75">
      <c r="B13" s="100"/>
      <c r="C13" s="22"/>
      <c r="D13" s="22"/>
      <c r="E13" s="15" t="s">
        <v>89</v>
      </c>
      <c r="F13" s="84">
        <f>F11/F12</f>
        <v>2.6958463651146616</v>
      </c>
      <c r="G13" s="22" t="s">
        <v>2</v>
      </c>
      <c r="H13" s="93">
        <f>H11/H12</f>
        <v>0.82150401836969</v>
      </c>
      <c r="I13" s="75" t="s">
        <v>3</v>
      </c>
      <c r="K13" s="30"/>
      <c r="L13" s="152"/>
      <c r="M13" s="86" t="s">
        <v>2</v>
      </c>
      <c r="N13" s="128" t="s">
        <v>3</v>
      </c>
      <c r="O13" s="83" t="s">
        <v>15</v>
      </c>
      <c r="P13" s="65" t="s">
        <v>3</v>
      </c>
      <c r="Q13" s="88" t="s">
        <v>101</v>
      </c>
      <c r="R13" s="159" t="s">
        <v>24</v>
      </c>
      <c r="S13" s="64" t="s">
        <v>19</v>
      </c>
      <c r="T13" s="160" t="s">
        <v>3</v>
      </c>
      <c r="U13" s="159" t="s">
        <v>24</v>
      </c>
      <c r="V13" s="64" t="s">
        <v>19</v>
      </c>
      <c r="W13" s="160" t="s">
        <v>3</v>
      </c>
    </row>
    <row r="14" spans="2:23" ht="12.75">
      <c r="B14" s="100"/>
      <c r="C14" s="22"/>
      <c r="D14" s="22"/>
      <c r="E14" s="18" t="s">
        <v>17</v>
      </c>
      <c r="F14" s="148">
        <f>H14*3.28</f>
        <v>208.08319999999998</v>
      </c>
      <c r="G14" t="s">
        <v>2</v>
      </c>
      <c r="H14" s="3">
        <f>4*(H6+H7+H8)</f>
        <v>63.44</v>
      </c>
      <c r="I14" s="75" t="s">
        <v>3</v>
      </c>
      <c r="K14" s="30"/>
      <c r="L14" s="153" t="s">
        <v>1</v>
      </c>
      <c r="M14" s="113">
        <v>15</v>
      </c>
      <c r="N14" s="169">
        <f>M14*0.305</f>
        <v>4.575</v>
      </c>
      <c r="O14" s="170"/>
      <c r="P14" s="171"/>
      <c r="Q14" s="173"/>
      <c r="R14" s="157"/>
      <c r="S14" s="83"/>
      <c r="T14" s="158"/>
      <c r="U14" s="157"/>
      <c r="V14" s="83"/>
      <c r="W14" s="158"/>
    </row>
    <row r="15" spans="2:23" ht="12.75">
      <c r="B15" s="100"/>
      <c r="C15" s="22"/>
      <c r="D15" s="22"/>
      <c r="E15" s="22"/>
      <c r="F15" s="83"/>
      <c r="G15" s="22"/>
      <c r="H15" s="22"/>
      <c r="I15" s="75"/>
      <c r="K15" t="s">
        <v>32</v>
      </c>
      <c r="L15" s="153" t="s">
        <v>6</v>
      </c>
      <c r="M15" s="113">
        <v>12</v>
      </c>
      <c r="N15" s="123">
        <f>M15*0.305</f>
        <v>3.66</v>
      </c>
      <c r="O15" s="91">
        <f>N14*N15*N16</f>
        <v>40.85658</v>
      </c>
      <c r="P15" s="109">
        <f>(N14*N15*N16)/(2*(N16*N15+N15*N14+N16*N14))</f>
        <v>0.5545454545454545</v>
      </c>
      <c r="Q15" s="89">
        <f>((4*PI()/3)*O15*(Q$12/344)^3)+((PI()/4)*2*(N14*N16+N14*N15+N15*N16)*(Q$12/344)^2)+Q$12*4*(N14+N15+N16)/(8*344)</f>
        <v>10.645596772547185</v>
      </c>
      <c r="R15" s="161">
        <f>163*$P15/S11</f>
        <v>451.9545454545454</v>
      </c>
      <c r="S15" s="91">
        <f>1900*SQRT(R15/(1000*$O15))</f>
        <v>199.8342731421075</v>
      </c>
      <c r="T15" s="162">
        <f>0.1*SQRT($O15/(PI()*R15/1000))</f>
        <v>0.5364246041911126</v>
      </c>
      <c r="U15" s="161">
        <f>163*$P15/V11</f>
        <v>225.9772727272727</v>
      </c>
      <c r="V15" s="91">
        <f>1900*SQRT(U15/(1000*$O15))</f>
        <v>141.30416965226897</v>
      </c>
      <c r="W15" s="162">
        <f>0.1*SQRT($O15/(PI()*U15/1000))</f>
        <v>0.7586189504376909</v>
      </c>
    </row>
    <row r="16" spans="2:23" ht="13.5" thickBot="1">
      <c r="B16" s="100"/>
      <c r="C16" s="17"/>
      <c r="D16" s="17"/>
      <c r="E16" s="14" t="s">
        <v>18</v>
      </c>
      <c r="F16" s="116">
        <v>100</v>
      </c>
      <c r="G16" s="19" t="s">
        <v>19</v>
      </c>
      <c r="H16" s="22"/>
      <c r="I16" s="75"/>
      <c r="J16" s="3"/>
      <c r="L16" s="47" t="s">
        <v>8</v>
      </c>
      <c r="M16" s="114">
        <v>8</v>
      </c>
      <c r="N16" s="168">
        <f>M16*0.305</f>
        <v>2.44</v>
      </c>
      <c r="O16" s="64"/>
      <c r="P16" s="66"/>
      <c r="Q16" s="88"/>
      <c r="R16" s="163"/>
      <c r="S16" s="164"/>
      <c r="T16" s="165"/>
      <c r="U16" s="163"/>
      <c r="V16" s="164"/>
      <c r="W16" s="165"/>
    </row>
    <row r="17" spans="2:17" ht="13.5" thickBot="1">
      <c r="B17" s="100"/>
      <c r="C17" s="22"/>
      <c r="D17" s="22"/>
      <c r="E17" s="15" t="s">
        <v>20</v>
      </c>
      <c r="F17" s="91">
        <f>((4*PI()/3)*H11*(F16/344)^3)+((PI()/4)*H12*(F16/344)^2)+H14*F16/(8*344)</f>
        <v>26.75892064023178</v>
      </c>
      <c r="G17" s="22"/>
      <c r="H17" s="22"/>
      <c r="I17" s="75"/>
      <c r="K17" s="54"/>
      <c r="L17" s="30"/>
      <c r="Q17" s="167"/>
    </row>
    <row r="18" spans="2:23" ht="12.75">
      <c r="B18" s="100"/>
      <c r="C18" s="22"/>
      <c r="D18" s="22"/>
      <c r="E18" s="15" t="s">
        <v>21</v>
      </c>
      <c r="F18" s="69">
        <f>1/(4*PI()*H11*(F16^2)/344^3)</f>
        <v>2.4333688384546477</v>
      </c>
      <c r="G18" s="22" t="s">
        <v>22</v>
      </c>
      <c r="H18" s="22"/>
      <c r="I18" s="75"/>
      <c r="K18" s="54"/>
      <c r="L18" s="149"/>
      <c r="M18" s="150"/>
      <c r="N18" s="70"/>
      <c r="O18" s="71"/>
      <c r="P18" s="72"/>
      <c r="Q18" s="172" t="s">
        <v>102</v>
      </c>
      <c r="R18" s="155" t="s">
        <v>95</v>
      </c>
      <c r="S18" s="156">
        <v>0.2</v>
      </c>
      <c r="T18" s="139"/>
      <c r="U18" s="155" t="s">
        <v>95</v>
      </c>
      <c r="V18" s="156">
        <v>0.4</v>
      </c>
      <c r="W18" s="139"/>
    </row>
    <row r="19" spans="2:23" ht="12.75">
      <c r="B19" s="100"/>
      <c r="C19" s="22"/>
      <c r="D19" s="22"/>
      <c r="E19" s="22"/>
      <c r="F19" s="115"/>
      <c r="G19" s="24"/>
      <c r="H19" s="22"/>
      <c r="I19" s="103"/>
      <c r="J19" s="16"/>
      <c r="K19" s="54"/>
      <c r="L19" s="154" t="s">
        <v>99</v>
      </c>
      <c r="M19" s="151"/>
      <c r="N19" s="73"/>
      <c r="O19" s="83" t="s">
        <v>97</v>
      </c>
      <c r="P19" s="65" t="s">
        <v>84</v>
      </c>
      <c r="Q19" s="130">
        <v>100</v>
      </c>
      <c r="R19" s="157" t="s">
        <v>94</v>
      </c>
      <c r="S19" s="83" t="s">
        <v>96</v>
      </c>
      <c r="T19" s="158" t="s">
        <v>48</v>
      </c>
      <c r="U19" s="157" t="s">
        <v>94</v>
      </c>
      <c r="V19" s="83" t="s">
        <v>96</v>
      </c>
      <c r="W19" s="158" t="s">
        <v>48</v>
      </c>
    </row>
    <row r="20" spans="1:23" ht="12.75">
      <c r="A20" s="22"/>
      <c r="B20" s="100"/>
      <c r="C20" s="17"/>
      <c r="D20" s="17"/>
      <c r="E20" s="14" t="s">
        <v>23</v>
      </c>
      <c r="F20" s="116">
        <v>250</v>
      </c>
      <c r="G20" s="19" t="s">
        <v>24</v>
      </c>
      <c r="H20" s="22"/>
      <c r="I20" s="103"/>
      <c r="J20" s="16"/>
      <c r="K20" s="54"/>
      <c r="L20" s="152"/>
      <c r="M20" s="86" t="s">
        <v>2</v>
      </c>
      <c r="N20" s="128" t="s">
        <v>3</v>
      </c>
      <c r="O20" s="83" t="s">
        <v>15</v>
      </c>
      <c r="P20" s="65" t="s">
        <v>3</v>
      </c>
      <c r="Q20" s="88" t="s">
        <v>101</v>
      </c>
      <c r="R20" s="159" t="s">
        <v>24</v>
      </c>
      <c r="S20" s="64" t="s">
        <v>19</v>
      </c>
      <c r="T20" s="160" t="s">
        <v>3</v>
      </c>
      <c r="U20" s="159" t="s">
        <v>24</v>
      </c>
      <c r="V20" s="64" t="s">
        <v>19</v>
      </c>
      <c r="W20" s="160" t="s">
        <v>3</v>
      </c>
    </row>
    <row r="21" spans="2:23" ht="12.75">
      <c r="B21" s="100"/>
      <c r="C21" s="22"/>
      <c r="D21" s="22"/>
      <c r="E21" s="15" t="s">
        <v>25</v>
      </c>
      <c r="F21" s="69">
        <f>2200/F20</f>
        <v>8.8</v>
      </c>
      <c r="G21" s="16" t="s">
        <v>19</v>
      </c>
      <c r="H21" s="22"/>
      <c r="I21" s="103"/>
      <c r="J21" s="16"/>
      <c r="K21" s="54"/>
      <c r="L21" s="153" t="s">
        <v>1</v>
      </c>
      <c r="M21" s="113">
        <v>22</v>
      </c>
      <c r="N21" s="169">
        <f>M21*0.305</f>
        <v>6.71</v>
      </c>
      <c r="O21" s="170"/>
      <c r="P21" s="171"/>
      <c r="Q21" s="173"/>
      <c r="R21" s="157"/>
      <c r="S21" s="83"/>
      <c r="T21" s="158"/>
      <c r="U21" s="157"/>
      <c r="V21" s="83"/>
      <c r="W21" s="158"/>
    </row>
    <row r="22" spans="2:23" ht="12.75">
      <c r="B22" s="100"/>
      <c r="C22" s="22"/>
      <c r="D22" s="22"/>
      <c r="E22" s="15" t="s">
        <v>26</v>
      </c>
      <c r="F22" s="91">
        <f>0.32*F20</f>
        <v>80</v>
      </c>
      <c r="G22" s="16" t="s">
        <v>24</v>
      </c>
      <c r="H22" s="22"/>
      <c r="I22" s="103"/>
      <c r="J22" s="16"/>
      <c r="K22" t="s">
        <v>32</v>
      </c>
      <c r="L22" s="153" t="s">
        <v>6</v>
      </c>
      <c r="M22" s="113">
        <v>14</v>
      </c>
      <c r="N22" s="123">
        <f>M22*0.305</f>
        <v>4.27</v>
      </c>
      <c r="O22" s="91">
        <f>N21*N22*N23</f>
        <v>78.6489165</v>
      </c>
      <c r="P22" s="109">
        <f>(N21*N22*N23)/(2*(N23*N22+N22*N21+N23*N21))</f>
        <v>0.668876582278481</v>
      </c>
      <c r="Q22" s="89">
        <f>((4*PI()/3)*O22*(Q$19/344)^3)+((PI()/4)*2*(N21*N23+N21*N22+N22*N23)*(Q$19/344)^2)+Q$19*4*(N21+N22+N23)/(8*344)</f>
        <v>17.891892003291915</v>
      </c>
      <c r="R22" s="161">
        <f>163*$P22/S18</f>
        <v>545.134414556962</v>
      </c>
      <c r="S22" s="91">
        <f>1900*SQRT(R22/(1000*$O22))</f>
        <v>158.1827163241248</v>
      </c>
      <c r="T22" s="162">
        <f>0.1*SQRT($O22/(PI()*R22/1000))</f>
        <v>0.6776721462692761</v>
      </c>
      <c r="U22" s="161">
        <f>163*$P22/V18</f>
        <v>272.567207278481</v>
      </c>
      <c r="V22" s="91">
        <f>1900*SQRT(U22/(1000*$O22))</f>
        <v>111.85207137929665</v>
      </c>
      <c r="W22" s="162">
        <f>0.1*SQRT($O22/(PI()*U22/1000))</f>
        <v>0.958373140096494</v>
      </c>
    </row>
    <row r="23" spans="2:23" ht="13.5" thickBot="1">
      <c r="B23" s="100"/>
      <c r="C23" s="22"/>
      <c r="D23" s="22"/>
      <c r="E23" s="15" t="s">
        <v>27</v>
      </c>
      <c r="F23" s="91">
        <f>1900*SQRT(F20/(H11*1000))</f>
        <v>82.33696310387607</v>
      </c>
      <c r="G23" s="16" t="s">
        <v>19</v>
      </c>
      <c r="H23" s="22"/>
      <c r="I23" s="75"/>
      <c r="L23" s="47" t="s">
        <v>8</v>
      </c>
      <c r="M23" s="114">
        <v>9</v>
      </c>
      <c r="N23" s="168">
        <f>M23*0.305</f>
        <v>2.745</v>
      </c>
      <c r="O23" s="64"/>
      <c r="P23" s="66"/>
      <c r="Q23" s="88"/>
      <c r="R23" s="163"/>
      <c r="S23" s="164"/>
      <c r="T23" s="165"/>
      <c r="U23" s="163"/>
      <c r="V23" s="164"/>
      <c r="W23" s="165"/>
    </row>
    <row r="24" spans="2:17" ht="13.5" thickBot="1">
      <c r="B24" s="100"/>
      <c r="C24" s="22"/>
      <c r="D24" s="22"/>
      <c r="E24" s="15" t="s">
        <v>28</v>
      </c>
      <c r="F24" s="117">
        <f>0.1*SQRT(H11/(PI()*F20/1000))</f>
        <v>1.3019185652844096</v>
      </c>
      <c r="G24" s="34" t="s">
        <v>3</v>
      </c>
      <c r="H24" s="6">
        <f>3.28*F24*12</f>
        <v>51.24351472959436</v>
      </c>
      <c r="I24" s="75" t="s">
        <v>60</v>
      </c>
      <c r="K24" s="54"/>
      <c r="L24" s="30"/>
      <c r="Q24" s="167"/>
    </row>
    <row r="25" spans="2:23" ht="12.75">
      <c r="B25" s="100"/>
      <c r="C25" s="22"/>
      <c r="D25" s="22"/>
      <c r="E25" s="15" t="s">
        <v>29</v>
      </c>
      <c r="F25" s="117">
        <f>0.1*SQRT(3*H11/(PI()*F20/1000))</f>
        <v>2.254989102389776</v>
      </c>
      <c r="G25" s="34" t="s">
        <v>3</v>
      </c>
      <c r="H25" s="6">
        <f>3.28*F25*12</f>
        <v>88.75637107006158</v>
      </c>
      <c r="I25" s="75" t="s">
        <v>60</v>
      </c>
      <c r="K25" s="54"/>
      <c r="L25" s="149"/>
      <c r="M25" s="150"/>
      <c r="N25" s="70"/>
      <c r="O25" s="71"/>
      <c r="P25" s="72"/>
      <c r="Q25" s="172" t="s">
        <v>102</v>
      </c>
      <c r="R25" s="155" t="s">
        <v>95</v>
      </c>
      <c r="S25" s="156">
        <v>0.2</v>
      </c>
      <c r="T25" s="139"/>
      <c r="U25" s="155" t="s">
        <v>95</v>
      </c>
      <c r="V25" s="156">
        <v>0.4</v>
      </c>
      <c r="W25" s="139"/>
    </row>
    <row r="26" spans="2:23" ht="12.75">
      <c r="B26" s="100"/>
      <c r="C26" s="22"/>
      <c r="D26" s="22"/>
      <c r="E26" s="15" t="s">
        <v>30</v>
      </c>
      <c r="F26" s="118">
        <f>0.163*H11/(F20*H12/1000)</f>
        <v>0.5356206199770379</v>
      </c>
      <c r="G26" s="24"/>
      <c r="H26" s="22"/>
      <c r="I26" s="75"/>
      <c r="L26" s="154" t="s">
        <v>98</v>
      </c>
      <c r="M26" s="151"/>
      <c r="N26" s="73"/>
      <c r="O26" s="83" t="s">
        <v>97</v>
      </c>
      <c r="P26" s="65" t="s">
        <v>84</v>
      </c>
      <c r="Q26" s="130">
        <v>100</v>
      </c>
      <c r="R26" s="157" t="s">
        <v>94</v>
      </c>
      <c r="S26" s="83" t="s">
        <v>96</v>
      </c>
      <c r="T26" s="158" t="s">
        <v>48</v>
      </c>
      <c r="U26" s="157" t="s">
        <v>94</v>
      </c>
      <c r="V26" s="83" t="s">
        <v>96</v>
      </c>
      <c r="W26" s="158" t="s">
        <v>48</v>
      </c>
    </row>
    <row r="27" spans="2:23" ht="12.75">
      <c r="B27" s="100"/>
      <c r="C27" s="22"/>
      <c r="D27" s="22"/>
      <c r="E27" s="22"/>
      <c r="F27" s="115"/>
      <c r="G27" s="24"/>
      <c r="H27" s="22"/>
      <c r="I27" s="75"/>
      <c r="L27" s="152"/>
      <c r="M27" s="86" t="s">
        <v>2</v>
      </c>
      <c r="N27" s="128" t="s">
        <v>3</v>
      </c>
      <c r="O27" s="83" t="s">
        <v>15</v>
      </c>
      <c r="P27" s="65" t="s">
        <v>3</v>
      </c>
      <c r="Q27" s="88" t="s">
        <v>101</v>
      </c>
      <c r="R27" s="159" t="s">
        <v>24</v>
      </c>
      <c r="S27" s="64" t="s">
        <v>19</v>
      </c>
      <c r="T27" s="160" t="s">
        <v>3</v>
      </c>
      <c r="U27" s="159" t="s">
        <v>24</v>
      </c>
      <c r="V27" s="64" t="s">
        <v>19</v>
      </c>
      <c r="W27" s="160" t="s">
        <v>3</v>
      </c>
    </row>
    <row r="28" spans="1:23" ht="12.75">
      <c r="A28" s="22"/>
      <c r="B28" s="100"/>
      <c r="C28" s="17"/>
      <c r="D28" s="17"/>
      <c r="E28" s="14" t="s">
        <v>31</v>
      </c>
      <c r="F28" s="119">
        <v>0.4</v>
      </c>
      <c r="G28" s="42" t="s">
        <v>32</v>
      </c>
      <c r="H28" s="22"/>
      <c r="I28" s="75"/>
      <c r="K28" s="55"/>
      <c r="L28" s="153" t="s">
        <v>1</v>
      </c>
      <c r="M28" s="113">
        <v>30</v>
      </c>
      <c r="N28" s="169">
        <f>M28*0.305</f>
        <v>9.15</v>
      </c>
      <c r="O28" s="170"/>
      <c r="P28" s="171"/>
      <c r="Q28" s="173"/>
      <c r="R28" s="157"/>
      <c r="S28" s="83"/>
      <c r="T28" s="158"/>
      <c r="U28" s="157"/>
      <c r="V28" s="83"/>
      <c r="W28" s="158"/>
    </row>
    <row r="29" spans="2:23" ht="12.75">
      <c r="B29" s="100"/>
      <c r="C29" s="22"/>
      <c r="D29" s="22"/>
      <c r="E29" s="15" t="s">
        <v>35</v>
      </c>
      <c r="F29" s="120">
        <f>1000*0.163*H11/(H12*F28)</f>
        <v>334.76288748564866</v>
      </c>
      <c r="G29" s="34" t="s">
        <v>24</v>
      </c>
      <c r="H29" s="22"/>
      <c r="I29" s="75"/>
      <c r="K29" s="30" t="s">
        <v>32</v>
      </c>
      <c r="L29" s="153" t="s">
        <v>6</v>
      </c>
      <c r="M29" s="113">
        <v>18</v>
      </c>
      <c r="N29" s="123">
        <f>M29*0.305</f>
        <v>5.49</v>
      </c>
      <c r="O29" s="91">
        <f>N28*N29*N30</f>
        <v>168.53339250000002</v>
      </c>
      <c r="P29" s="109">
        <f>(N28*N29*N30)/(2*(N30*N29+N29*N28+N30*N28))</f>
        <v>0.8481741573033708</v>
      </c>
      <c r="Q29" s="89">
        <f>((4*PI()/3)*O29*(Q$26/344)^3)+((PI()/4)*2*(N28*N30+N28*N29+N29*N30)*(Q$26/344)^2)+Q$26*4*(N28+N29+N30)/(8*344)</f>
        <v>33.14540253707286</v>
      </c>
      <c r="R29" s="161">
        <f>163*$P29/S25</f>
        <v>691.261938202247</v>
      </c>
      <c r="S29" s="91">
        <f>1900*SQRT(R29/(1000*$O29))</f>
        <v>121.68356973806809</v>
      </c>
      <c r="T29" s="162">
        <f>0.1*SQRT($O29/(PI()*R29/1000))</f>
        <v>0.880940796730571</v>
      </c>
      <c r="U29" s="161">
        <f>163*$P29/V25</f>
        <v>345.6309691011235</v>
      </c>
      <c r="V29" s="91">
        <f>1900*SQRT(U29/(1000*$O29))</f>
        <v>86.04327732077411</v>
      </c>
      <c r="W29" s="162">
        <f>0.1*SQRT($O29/(PI()*U29/1000))</f>
        <v>1.2458384223841334</v>
      </c>
    </row>
    <row r="30" spans="2:23" ht="13.5" thickBot="1">
      <c r="B30" s="101"/>
      <c r="C30" s="17"/>
      <c r="D30" s="17"/>
      <c r="E30" s="14"/>
      <c r="F30" s="104"/>
      <c r="G30" s="105"/>
      <c r="H30" s="17"/>
      <c r="I30" s="77"/>
      <c r="K30" s="54"/>
      <c r="L30" s="47" t="s">
        <v>8</v>
      </c>
      <c r="M30" s="114">
        <v>11</v>
      </c>
      <c r="N30" s="168">
        <f>M30*0.305</f>
        <v>3.355</v>
      </c>
      <c r="O30" s="64"/>
      <c r="P30" s="66"/>
      <c r="Q30" s="88"/>
      <c r="R30" s="163"/>
      <c r="S30" s="164"/>
      <c r="T30" s="165"/>
      <c r="U30" s="163"/>
      <c r="V30" s="164"/>
      <c r="W30" s="165"/>
    </row>
    <row r="32" spans="2:14" ht="12.75">
      <c r="B32" s="97" t="s">
        <v>68</v>
      </c>
      <c r="C32" s="94">
        <v>8.36</v>
      </c>
      <c r="D32" s="95" t="s">
        <v>3</v>
      </c>
      <c r="G32" s="70" t="s">
        <v>107</v>
      </c>
      <c r="H32" s="71"/>
      <c r="I32" s="72"/>
      <c r="L32" s="97" t="s">
        <v>68</v>
      </c>
      <c r="M32" s="94">
        <v>3</v>
      </c>
      <c r="N32" s="95" t="s">
        <v>3</v>
      </c>
    </row>
    <row r="33" spans="2:14" ht="12.75">
      <c r="B33" s="96" t="s">
        <v>67</v>
      </c>
      <c r="C33" s="7">
        <f>C32*(100/2.54)/12</f>
        <v>27.42782152230971</v>
      </c>
      <c r="D33" s="77" t="s">
        <v>66</v>
      </c>
      <c r="G33" s="189" t="s">
        <v>106</v>
      </c>
      <c r="H33" s="183"/>
      <c r="I33" s="190"/>
      <c r="L33" s="96" t="s">
        <v>67</v>
      </c>
      <c r="M33" s="7">
        <f>M32*(100/2.54)/12</f>
        <v>9.84251968503937</v>
      </c>
      <c r="N33" s="77" t="s">
        <v>66</v>
      </c>
    </row>
    <row r="37" ht="12.75">
      <c r="H37" s="22"/>
    </row>
    <row r="38" spans="2:9" ht="12.75">
      <c r="B38" s="132" t="s">
        <v>79</v>
      </c>
      <c r="C38" s="71"/>
      <c r="D38" s="71"/>
      <c r="E38" s="71"/>
      <c r="F38" s="71"/>
      <c r="G38" s="71"/>
      <c r="H38" s="71"/>
      <c r="I38" s="72"/>
    </row>
    <row r="39" spans="2:9" ht="12.75">
      <c r="B39" s="73"/>
      <c r="C39" s="75"/>
      <c r="D39" s="22" t="s">
        <v>86</v>
      </c>
      <c r="E39" s="22"/>
      <c r="F39" s="22"/>
      <c r="G39" s="22"/>
      <c r="H39" s="22"/>
      <c r="I39" s="75"/>
    </row>
    <row r="40" spans="2:9" ht="12.75">
      <c r="B40" s="128" t="s">
        <v>84</v>
      </c>
      <c r="C40" s="65" t="s">
        <v>84</v>
      </c>
      <c r="D40" s="79">
        <v>0.1</v>
      </c>
      <c r="E40" s="79">
        <v>0.2</v>
      </c>
      <c r="F40" s="79">
        <v>0.3</v>
      </c>
      <c r="G40" s="79">
        <v>0.4</v>
      </c>
      <c r="H40" s="79">
        <v>0.5</v>
      </c>
      <c r="I40" s="129">
        <v>0.6</v>
      </c>
    </row>
    <row r="41" spans="2:9" ht="12.75">
      <c r="B41" s="88" t="s">
        <v>3</v>
      </c>
      <c r="C41" s="66" t="s">
        <v>2</v>
      </c>
      <c r="D41" s="64" t="s">
        <v>85</v>
      </c>
      <c r="E41" s="64" t="s">
        <v>85</v>
      </c>
      <c r="F41" s="64" t="s">
        <v>85</v>
      </c>
      <c r="G41" s="64" t="s">
        <v>85</v>
      </c>
      <c r="H41" s="64" t="s">
        <v>85</v>
      </c>
      <c r="I41" s="66" t="s">
        <v>85</v>
      </c>
    </row>
    <row r="42" spans="2:9" ht="12.75">
      <c r="B42" s="135">
        <v>0.4</v>
      </c>
      <c r="C42" s="109">
        <f>B42*3.28</f>
        <v>1.312</v>
      </c>
      <c r="D42" s="91">
        <f aca="true" t="shared" si="0" ref="D42:I51">163*$B42/D$40</f>
        <v>652</v>
      </c>
      <c r="E42" s="91">
        <f t="shared" si="0"/>
        <v>326</v>
      </c>
      <c r="F42" s="91">
        <f t="shared" si="0"/>
        <v>217.33333333333334</v>
      </c>
      <c r="G42" s="91">
        <f t="shared" si="0"/>
        <v>163</v>
      </c>
      <c r="H42" s="91">
        <f t="shared" si="0"/>
        <v>130.4</v>
      </c>
      <c r="I42" s="136">
        <f t="shared" si="0"/>
        <v>108.66666666666667</v>
      </c>
    </row>
    <row r="43" spans="2:9" ht="12.75">
      <c r="B43" s="135">
        <v>0.45</v>
      </c>
      <c r="C43" s="109">
        <f aca="true" t="shared" si="1" ref="C43:C51">B43*3.28</f>
        <v>1.476</v>
      </c>
      <c r="D43" s="91">
        <f t="shared" si="0"/>
        <v>733.5</v>
      </c>
      <c r="E43" s="91">
        <f t="shared" si="0"/>
        <v>366.75</v>
      </c>
      <c r="F43" s="91">
        <f t="shared" si="0"/>
        <v>244.50000000000003</v>
      </c>
      <c r="G43" s="91">
        <f t="shared" si="0"/>
        <v>183.375</v>
      </c>
      <c r="H43" s="91">
        <f t="shared" si="0"/>
        <v>146.70000000000002</v>
      </c>
      <c r="I43" s="136">
        <f t="shared" si="0"/>
        <v>122.25000000000001</v>
      </c>
    </row>
    <row r="44" spans="2:9" ht="12.75">
      <c r="B44" s="135">
        <v>0.5</v>
      </c>
      <c r="C44" s="109">
        <f t="shared" si="1"/>
        <v>1.64</v>
      </c>
      <c r="D44" s="91">
        <f t="shared" si="0"/>
        <v>815</v>
      </c>
      <c r="E44" s="91">
        <f t="shared" si="0"/>
        <v>407.5</v>
      </c>
      <c r="F44" s="91">
        <f t="shared" si="0"/>
        <v>271.6666666666667</v>
      </c>
      <c r="G44" s="91">
        <f t="shared" si="0"/>
        <v>203.75</v>
      </c>
      <c r="H44" s="91">
        <f t="shared" si="0"/>
        <v>163</v>
      </c>
      <c r="I44" s="136">
        <f t="shared" si="0"/>
        <v>135.83333333333334</v>
      </c>
    </row>
    <row r="45" spans="2:9" ht="12.75">
      <c r="B45" s="135">
        <v>0.55</v>
      </c>
      <c r="C45" s="109">
        <f t="shared" si="1"/>
        <v>1.804</v>
      </c>
      <c r="D45" s="91">
        <f t="shared" si="0"/>
        <v>896.5</v>
      </c>
      <c r="E45" s="91">
        <f t="shared" si="0"/>
        <v>448.25</v>
      </c>
      <c r="F45" s="91">
        <f t="shared" si="0"/>
        <v>298.83333333333337</v>
      </c>
      <c r="G45" s="91">
        <f t="shared" si="0"/>
        <v>224.125</v>
      </c>
      <c r="H45" s="91">
        <f t="shared" si="0"/>
        <v>179.3</v>
      </c>
      <c r="I45" s="136">
        <f t="shared" si="0"/>
        <v>149.41666666666669</v>
      </c>
    </row>
    <row r="46" spans="2:9" ht="12.75">
      <c r="B46" s="135">
        <v>0.6</v>
      </c>
      <c r="C46" s="109">
        <f t="shared" si="1"/>
        <v>1.9679999999999997</v>
      </c>
      <c r="D46" s="91">
        <f t="shared" si="0"/>
        <v>977.9999999999999</v>
      </c>
      <c r="E46" s="91">
        <f t="shared" si="0"/>
        <v>488.99999999999994</v>
      </c>
      <c r="F46" s="91">
        <f t="shared" si="0"/>
        <v>326</v>
      </c>
      <c r="G46" s="91">
        <f t="shared" si="0"/>
        <v>244.49999999999997</v>
      </c>
      <c r="H46" s="91">
        <f t="shared" si="0"/>
        <v>195.6</v>
      </c>
      <c r="I46" s="136">
        <f t="shared" si="0"/>
        <v>163</v>
      </c>
    </row>
    <row r="47" spans="2:9" ht="12.75">
      <c r="B47" s="135">
        <v>0.65</v>
      </c>
      <c r="C47" s="109">
        <f t="shared" si="1"/>
        <v>2.132</v>
      </c>
      <c r="D47" s="91">
        <f t="shared" si="0"/>
        <v>1059.5</v>
      </c>
      <c r="E47" s="91">
        <f t="shared" si="0"/>
        <v>529.75</v>
      </c>
      <c r="F47" s="91">
        <f t="shared" si="0"/>
        <v>353.1666666666667</v>
      </c>
      <c r="G47" s="91">
        <f t="shared" si="0"/>
        <v>264.875</v>
      </c>
      <c r="H47" s="91">
        <f t="shared" si="0"/>
        <v>211.9</v>
      </c>
      <c r="I47" s="136">
        <f t="shared" si="0"/>
        <v>176.58333333333334</v>
      </c>
    </row>
    <row r="48" spans="2:9" ht="12.75">
      <c r="B48" s="135">
        <v>0.7</v>
      </c>
      <c r="C48" s="109">
        <f t="shared" si="1"/>
        <v>2.296</v>
      </c>
      <c r="D48" s="91">
        <f t="shared" si="0"/>
        <v>1140.9999999999998</v>
      </c>
      <c r="E48" s="91">
        <f t="shared" si="0"/>
        <v>570.4999999999999</v>
      </c>
      <c r="F48" s="91">
        <f t="shared" si="0"/>
        <v>380.3333333333333</v>
      </c>
      <c r="G48" s="91">
        <f t="shared" si="0"/>
        <v>285.24999999999994</v>
      </c>
      <c r="H48" s="91">
        <f t="shared" si="0"/>
        <v>228.2</v>
      </c>
      <c r="I48" s="136">
        <f t="shared" si="0"/>
        <v>190.16666666666666</v>
      </c>
    </row>
    <row r="49" spans="2:9" ht="12.75">
      <c r="B49" s="135">
        <v>0.75</v>
      </c>
      <c r="C49" s="109">
        <f t="shared" si="1"/>
        <v>2.46</v>
      </c>
      <c r="D49" s="91">
        <f t="shared" si="0"/>
        <v>1222.5</v>
      </c>
      <c r="E49" s="91">
        <f t="shared" si="0"/>
        <v>611.25</v>
      </c>
      <c r="F49" s="91">
        <f t="shared" si="0"/>
        <v>407.5</v>
      </c>
      <c r="G49" s="91">
        <f t="shared" si="0"/>
        <v>305.625</v>
      </c>
      <c r="H49" s="91">
        <f t="shared" si="0"/>
        <v>244.5</v>
      </c>
      <c r="I49" s="136">
        <f t="shared" si="0"/>
        <v>203.75</v>
      </c>
    </row>
    <row r="50" spans="2:9" ht="12.75">
      <c r="B50" s="135">
        <v>0.8</v>
      </c>
      <c r="C50" s="109">
        <f t="shared" si="1"/>
        <v>2.624</v>
      </c>
      <c r="D50" s="91">
        <f t="shared" si="0"/>
        <v>1304</v>
      </c>
      <c r="E50" s="91">
        <f t="shared" si="0"/>
        <v>652</v>
      </c>
      <c r="F50" s="91">
        <f t="shared" si="0"/>
        <v>434.6666666666667</v>
      </c>
      <c r="G50" s="91">
        <f t="shared" si="0"/>
        <v>326</v>
      </c>
      <c r="H50" s="91">
        <f t="shared" si="0"/>
        <v>260.8</v>
      </c>
      <c r="I50" s="136">
        <f t="shared" si="0"/>
        <v>217.33333333333334</v>
      </c>
    </row>
    <row r="51" spans="2:22" ht="12.75">
      <c r="B51" s="135">
        <v>0.85</v>
      </c>
      <c r="C51" s="109">
        <f t="shared" si="1"/>
        <v>2.788</v>
      </c>
      <c r="D51" s="91">
        <f t="shared" si="0"/>
        <v>1385.4999999999998</v>
      </c>
      <c r="E51" s="91">
        <f t="shared" si="0"/>
        <v>692.7499999999999</v>
      </c>
      <c r="F51" s="91">
        <f t="shared" si="0"/>
        <v>461.8333333333333</v>
      </c>
      <c r="G51" s="91">
        <f t="shared" si="0"/>
        <v>346.37499999999994</v>
      </c>
      <c r="H51" s="91">
        <f t="shared" si="0"/>
        <v>277.09999999999997</v>
      </c>
      <c r="I51" s="136">
        <f t="shared" si="0"/>
        <v>230.91666666666666</v>
      </c>
      <c r="V51" t="s">
        <v>32</v>
      </c>
    </row>
    <row r="52" spans="2:9" ht="12.75">
      <c r="B52" s="76"/>
      <c r="C52" s="17"/>
      <c r="D52" s="17"/>
      <c r="E52" s="17"/>
      <c r="F52" s="17"/>
      <c r="G52" s="17"/>
      <c r="H52" s="17"/>
      <c r="I52" s="77"/>
    </row>
    <row r="54" spans="2:4" ht="12.75">
      <c r="B54" s="126" t="s">
        <v>68</v>
      </c>
      <c r="C54" s="147">
        <v>8</v>
      </c>
      <c r="D54" s="95" t="s">
        <v>2</v>
      </c>
    </row>
    <row r="55" spans="2:4" ht="12.75">
      <c r="B55" s="124" t="s">
        <v>67</v>
      </c>
      <c r="C55" s="110">
        <f>C54*12*2.54/100</f>
        <v>2.4384</v>
      </c>
      <c r="D55" s="77" t="s">
        <v>3</v>
      </c>
    </row>
    <row r="65" spans="7:9" ht="12.75">
      <c r="G65" s="132" t="s">
        <v>90</v>
      </c>
      <c r="H65" s="71"/>
      <c r="I65" s="72"/>
    </row>
    <row r="66" spans="7:9" ht="12.75">
      <c r="G66" s="124" t="s">
        <v>91</v>
      </c>
      <c r="H66" s="110">
        <f>H13</f>
        <v>0.82150401836969</v>
      </c>
      <c r="I66" s="77" t="s">
        <v>3</v>
      </c>
    </row>
    <row r="74" spans="2:7" ht="12.75">
      <c r="B74" s="132" t="s">
        <v>80</v>
      </c>
      <c r="C74" s="70" t="s">
        <v>49</v>
      </c>
      <c r="D74" s="71" t="s">
        <v>49</v>
      </c>
      <c r="E74" s="71" t="s">
        <v>49</v>
      </c>
      <c r="F74" s="71" t="s">
        <v>49</v>
      </c>
      <c r="G74" s="72" t="s">
        <v>49</v>
      </c>
    </row>
    <row r="75" spans="2:7" ht="12.75">
      <c r="B75" s="73"/>
      <c r="C75" s="112">
        <v>200</v>
      </c>
      <c r="D75" s="82">
        <v>300</v>
      </c>
      <c r="E75" s="82">
        <v>400</v>
      </c>
      <c r="F75" s="82">
        <v>500</v>
      </c>
      <c r="G75" s="106">
        <v>600</v>
      </c>
    </row>
    <row r="76" spans="2:7" ht="12.75">
      <c r="B76" s="73"/>
      <c r="C76" s="73"/>
      <c r="D76" s="22"/>
      <c r="E76" s="22"/>
      <c r="F76" s="22"/>
      <c r="G76" s="75"/>
    </row>
    <row r="77" spans="2:7" ht="12.75">
      <c r="B77" s="107" t="s">
        <v>47</v>
      </c>
      <c r="C77" s="83" t="s">
        <v>48</v>
      </c>
      <c r="D77" s="83" t="s">
        <v>48</v>
      </c>
      <c r="E77" s="83" t="s">
        <v>48</v>
      </c>
      <c r="F77" s="83" t="s">
        <v>48</v>
      </c>
      <c r="G77" s="65" t="s">
        <v>48</v>
      </c>
    </row>
    <row r="78" spans="2:7" ht="12.75">
      <c r="B78" s="108" t="s">
        <v>15</v>
      </c>
      <c r="C78" s="64" t="s">
        <v>3</v>
      </c>
      <c r="D78" s="64" t="s">
        <v>3</v>
      </c>
      <c r="E78" s="64" t="s">
        <v>3</v>
      </c>
      <c r="F78" s="64" t="s">
        <v>3</v>
      </c>
      <c r="G78" s="66" t="s">
        <v>3</v>
      </c>
    </row>
    <row r="79" spans="2:7" ht="12.75">
      <c r="B79" s="133">
        <v>20</v>
      </c>
      <c r="C79" s="84">
        <f aca="true" t="shared" si="2" ref="C79:G88">0.1*SQRT($B79/(PI()*C$75/1000))</f>
        <v>0.5641895835477563</v>
      </c>
      <c r="D79" s="84">
        <f t="shared" si="2"/>
        <v>0.46065886596178063</v>
      </c>
      <c r="E79" s="84">
        <f t="shared" si="2"/>
        <v>0.3989422804014327</v>
      </c>
      <c r="F79" s="84">
        <f t="shared" si="2"/>
        <v>0.35682482323055426</v>
      </c>
      <c r="G79" s="109">
        <f t="shared" si="2"/>
        <v>0.32573500793528</v>
      </c>
    </row>
    <row r="80" spans="2:7" ht="12.75">
      <c r="B80" s="133">
        <v>30</v>
      </c>
      <c r="C80" s="84">
        <f t="shared" si="2"/>
        <v>0.690988298942671</v>
      </c>
      <c r="D80" s="84">
        <f t="shared" si="2"/>
        <v>0.5641895835477563</v>
      </c>
      <c r="E80" s="84">
        <f t="shared" si="2"/>
        <v>0.4886025119029199</v>
      </c>
      <c r="F80" s="84">
        <f t="shared" si="2"/>
        <v>0.4370193722368317</v>
      </c>
      <c r="G80" s="109">
        <f t="shared" si="2"/>
        <v>0.3989422804014327</v>
      </c>
    </row>
    <row r="81" spans="2:7" ht="12.75">
      <c r="B81" s="133">
        <v>40</v>
      </c>
      <c r="C81" s="84">
        <f t="shared" si="2"/>
        <v>0.7978845608028654</v>
      </c>
      <c r="D81" s="84">
        <f t="shared" si="2"/>
        <v>0.65147001587056</v>
      </c>
      <c r="E81" s="84">
        <f t="shared" si="2"/>
        <v>0.5641895835477563</v>
      </c>
      <c r="F81" s="84">
        <f t="shared" si="2"/>
        <v>0.5046265044040321</v>
      </c>
      <c r="G81" s="109">
        <f t="shared" si="2"/>
        <v>0.46065886596178063</v>
      </c>
    </row>
    <row r="82" spans="2:7" ht="12.75">
      <c r="B82" s="133">
        <v>50</v>
      </c>
      <c r="C82" s="84">
        <f t="shared" si="2"/>
        <v>0.8920620580763856</v>
      </c>
      <c r="D82" s="84">
        <f t="shared" si="2"/>
        <v>0.7283656203947194</v>
      </c>
      <c r="E82" s="84">
        <f t="shared" si="2"/>
        <v>0.6307831305050401</v>
      </c>
      <c r="F82" s="84">
        <f t="shared" si="2"/>
        <v>0.5641895835477563</v>
      </c>
      <c r="G82" s="109">
        <f t="shared" si="2"/>
        <v>0.5150322693642528</v>
      </c>
    </row>
    <row r="83" spans="2:7" ht="12.75">
      <c r="B83" s="133">
        <v>60</v>
      </c>
      <c r="C83" s="84">
        <f t="shared" si="2"/>
        <v>0.9772050238058398</v>
      </c>
      <c r="D83" s="84">
        <f t="shared" si="2"/>
        <v>0.7978845608028654</v>
      </c>
      <c r="E83" s="84">
        <f t="shared" si="2"/>
        <v>0.690988298942671</v>
      </c>
      <c r="F83" s="84">
        <f t="shared" si="2"/>
        <v>0.6180387232371034</v>
      </c>
      <c r="G83" s="109">
        <f t="shared" si="2"/>
        <v>0.5641895835477563</v>
      </c>
    </row>
    <row r="84" spans="2:7" ht="12.75">
      <c r="B84" s="133">
        <v>70</v>
      </c>
      <c r="C84" s="84">
        <f t="shared" si="2"/>
        <v>1.055502061411188</v>
      </c>
      <c r="D84" s="84">
        <f t="shared" si="2"/>
        <v>0.8618138243044019</v>
      </c>
      <c r="E84" s="84">
        <f t="shared" si="2"/>
        <v>0.7463526651802308</v>
      </c>
      <c r="F84" s="84">
        <f t="shared" si="2"/>
        <v>0.6675581178124546</v>
      </c>
      <c r="G84" s="109">
        <f t="shared" si="2"/>
        <v>0.6093943992859544</v>
      </c>
    </row>
    <row r="85" spans="2:7" ht="12.75">
      <c r="B85" s="133">
        <v>80</v>
      </c>
      <c r="C85" s="84">
        <f t="shared" si="2"/>
        <v>1.1283791670955126</v>
      </c>
      <c r="D85" s="84">
        <f t="shared" si="2"/>
        <v>0.9213177319235613</v>
      </c>
      <c r="E85" s="84">
        <f t="shared" si="2"/>
        <v>0.7978845608028654</v>
      </c>
      <c r="F85" s="84">
        <f t="shared" si="2"/>
        <v>0.7136496464611085</v>
      </c>
      <c r="G85" s="109">
        <f t="shared" si="2"/>
        <v>0.65147001587056</v>
      </c>
    </row>
    <row r="86" spans="2:7" ht="12.75">
      <c r="B86" s="133">
        <v>90</v>
      </c>
      <c r="C86" s="84">
        <f t="shared" si="2"/>
        <v>1.1968268412042982</v>
      </c>
      <c r="D86" s="84">
        <f t="shared" si="2"/>
        <v>0.9772050238058398</v>
      </c>
      <c r="E86" s="84">
        <f t="shared" si="2"/>
        <v>0.8462843753216345</v>
      </c>
      <c r="F86" s="84">
        <f t="shared" si="2"/>
        <v>0.7569397566060481</v>
      </c>
      <c r="G86" s="109">
        <f t="shared" si="2"/>
        <v>0.690988298942671</v>
      </c>
    </row>
    <row r="87" spans="2:7" ht="12.75">
      <c r="B87" s="133">
        <v>100</v>
      </c>
      <c r="C87" s="84">
        <f t="shared" si="2"/>
        <v>1.2615662610100802</v>
      </c>
      <c r="D87" s="84">
        <f t="shared" si="2"/>
        <v>1.0300645387285057</v>
      </c>
      <c r="E87" s="84">
        <f t="shared" si="2"/>
        <v>0.8920620580763856</v>
      </c>
      <c r="F87" s="84">
        <f t="shared" si="2"/>
        <v>0.7978845608028654</v>
      </c>
      <c r="G87" s="109">
        <f t="shared" si="2"/>
        <v>0.7283656203947194</v>
      </c>
    </row>
    <row r="88" spans="2:7" ht="12.75">
      <c r="B88" s="133">
        <v>110</v>
      </c>
      <c r="C88" s="84">
        <f t="shared" si="2"/>
        <v>1.3231418571003069</v>
      </c>
      <c r="D88" s="84">
        <f t="shared" si="2"/>
        <v>1.0803408024047625</v>
      </c>
      <c r="E88" s="84">
        <f t="shared" si="2"/>
        <v>0.9356025796273889</v>
      </c>
      <c r="F88" s="84">
        <f t="shared" si="2"/>
        <v>0.8368283871884006</v>
      </c>
      <c r="G88" s="109">
        <f t="shared" si="2"/>
        <v>0.7639163073729236</v>
      </c>
    </row>
    <row r="89" spans="2:7" ht="12.75">
      <c r="B89" s="133">
        <v>120</v>
      </c>
      <c r="C89" s="84">
        <f aca="true" t="shared" si="3" ref="C89:G97">0.1*SQRT($B89/(PI()*C$75/1000))</f>
        <v>1.381976597885342</v>
      </c>
      <c r="D89" s="84">
        <f t="shared" si="3"/>
        <v>1.1283791670955126</v>
      </c>
      <c r="E89" s="84">
        <f t="shared" si="3"/>
        <v>0.9772050238058398</v>
      </c>
      <c r="F89" s="84">
        <f t="shared" si="3"/>
        <v>0.8740387444736634</v>
      </c>
      <c r="G89" s="109">
        <f t="shared" si="3"/>
        <v>0.7978845608028654</v>
      </c>
    </row>
    <row r="90" spans="2:7" ht="12.75">
      <c r="B90" s="133">
        <v>130</v>
      </c>
      <c r="C90" s="84">
        <f t="shared" si="3"/>
        <v>1.4384068479378982</v>
      </c>
      <c r="D90" s="84">
        <f t="shared" si="3"/>
        <v>1.1744542733243213</v>
      </c>
      <c r="E90" s="84">
        <f t="shared" si="3"/>
        <v>1.0171072362820548</v>
      </c>
      <c r="F90" s="84">
        <f t="shared" si="3"/>
        <v>0.909728368293446</v>
      </c>
      <c r="G90" s="109">
        <f t="shared" si="3"/>
        <v>0.8304645808611465</v>
      </c>
    </row>
    <row r="91" spans="2:7" ht="12.75">
      <c r="B91" s="133">
        <v>140</v>
      </c>
      <c r="C91" s="84">
        <f t="shared" si="3"/>
        <v>1.4927053303604616</v>
      </c>
      <c r="D91" s="84">
        <f t="shared" si="3"/>
        <v>1.2187887985719088</v>
      </c>
      <c r="E91" s="84">
        <f t="shared" si="3"/>
        <v>1.055502061411188</v>
      </c>
      <c r="F91" s="84">
        <f t="shared" si="3"/>
        <v>0.9440697438826297</v>
      </c>
      <c r="G91" s="109">
        <f t="shared" si="3"/>
        <v>0.8618138243044019</v>
      </c>
    </row>
    <row r="92" spans="2:10" ht="12.75">
      <c r="B92" s="133">
        <v>150</v>
      </c>
      <c r="C92" s="84">
        <f t="shared" si="3"/>
        <v>1.5450968080927585</v>
      </c>
      <c r="D92" s="84">
        <f t="shared" si="3"/>
        <v>1.2615662610100802</v>
      </c>
      <c r="E92" s="84">
        <f t="shared" si="3"/>
        <v>1.0925484305920792</v>
      </c>
      <c r="F92" s="84">
        <f t="shared" si="3"/>
        <v>0.9772050238058398</v>
      </c>
      <c r="G92" s="109">
        <f t="shared" si="3"/>
        <v>0.8920620580763856</v>
      </c>
      <c r="J92" s="22"/>
    </row>
    <row r="93" spans="2:10" ht="12.75">
      <c r="B93" s="133">
        <v>160</v>
      </c>
      <c r="C93" s="84">
        <f t="shared" si="3"/>
        <v>1.5957691216057308</v>
      </c>
      <c r="D93" s="84">
        <f t="shared" si="3"/>
        <v>1.30294003174112</v>
      </c>
      <c r="E93" s="84">
        <f t="shared" si="3"/>
        <v>1.1283791670955126</v>
      </c>
      <c r="F93" s="84">
        <f t="shared" si="3"/>
        <v>1.0092530088080642</v>
      </c>
      <c r="G93" s="109">
        <f t="shared" si="3"/>
        <v>0.9213177319235613</v>
      </c>
      <c r="J93" s="22"/>
    </row>
    <row r="94" spans="2:7" ht="12.75">
      <c r="B94" s="133">
        <v>170</v>
      </c>
      <c r="C94" s="84">
        <f t="shared" si="3"/>
        <v>1.6448811606198852</v>
      </c>
      <c r="D94" s="84">
        <f t="shared" si="3"/>
        <v>1.3430398436785662</v>
      </c>
      <c r="E94" s="84">
        <f t="shared" si="3"/>
        <v>1.1631066229203195</v>
      </c>
      <c r="F94" s="84">
        <f t="shared" si="3"/>
        <v>1.0403141895720198</v>
      </c>
      <c r="G94" s="109">
        <f t="shared" si="3"/>
        <v>0.9496725808688349</v>
      </c>
    </row>
    <row r="95" spans="2:7" ht="12.75">
      <c r="B95" s="133">
        <v>180</v>
      </c>
      <c r="C95" s="84">
        <f t="shared" si="3"/>
        <v>1.692568750643269</v>
      </c>
      <c r="D95" s="84">
        <f t="shared" si="3"/>
        <v>1.381976597885342</v>
      </c>
      <c r="E95" s="84">
        <f t="shared" si="3"/>
        <v>1.1968268412042982</v>
      </c>
      <c r="F95" s="84">
        <f t="shared" si="3"/>
        <v>1.0704744696916628</v>
      </c>
      <c r="G95" s="109">
        <f t="shared" si="3"/>
        <v>0.9772050238058398</v>
      </c>
    </row>
    <row r="96" spans="2:7" ht="12.75">
      <c r="B96" s="133">
        <v>190</v>
      </c>
      <c r="C96" s="84">
        <f t="shared" si="3"/>
        <v>1.738949084575512</v>
      </c>
      <c r="D96" s="84">
        <f t="shared" si="3"/>
        <v>1.419845981963305</v>
      </c>
      <c r="E96" s="84">
        <f t="shared" si="3"/>
        <v>1.2296226898414837</v>
      </c>
      <c r="F96" s="84">
        <f t="shared" si="3"/>
        <v>1.099807968464679</v>
      </c>
      <c r="G96" s="109">
        <f t="shared" si="3"/>
        <v>1.0039827220867252</v>
      </c>
    </row>
    <row r="97" spans="2:7" ht="12.75">
      <c r="B97" s="134">
        <v>200</v>
      </c>
      <c r="C97" s="110">
        <f t="shared" si="3"/>
        <v>1.7841241161527712</v>
      </c>
      <c r="D97" s="110">
        <f t="shared" si="3"/>
        <v>1.4567312407894388</v>
      </c>
      <c r="E97" s="110">
        <f t="shared" si="3"/>
        <v>1.2615662610100802</v>
      </c>
      <c r="F97" s="110">
        <f t="shared" si="3"/>
        <v>1.1283791670955126</v>
      </c>
      <c r="G97" s="111">
        <f t="shared" si="3"/>
        <v>1.0300645387285057</v>
      </c>
    </row>
    <row r="99" spans="2:4" ht="12.75">
      <c r="B99" s="126" t="s">
        <v>68</v>
      </c>
      <c r="C99" s="127">
        <v>700</v>
      </c>
      <c r="D99" s="95" t="s">
        <v>14</v>
      </c>
    </row>
    <row r="100" spans="2:4" ht="12.75">
      <c r="B100" s="124" t="s">
        <v>67</v>
      </c>
      <c r="C100" s="125">
        <f>C99/3.28^3</f>
        <v>19.837023548700692</v>
      </c>
      <c r="D100" s="77" t="s">
        <v>15</v>
      </c>
    </row>
    <row r="106" spans="6:8" ht="12.75">
      <c r="F106" s="132" t="s">
        <v>90</v>
      </c>
      <c r="G106" s="71"/>
      <c r="H106" s="72"/>
    </row>
    <row r="107" spans="6:8" ht="12.75">
      <c r="F107" s="124" t="s">
        <v>92</v>
      </c>
      <c r="G107" s="125">
        <f>H11</f>
        <v>133.1243565</v>
      </c>
      <c r="H107" s="77" t="s">
        <v>15</v>
      </c>
    </row>
    <row r="114" spans="2:7" ht="12.75">
      <c r="B114" s="132" t="s">
        <v>81</v>
      </c>
      <c r="C114" s="71"/>
      <c r="D114" s="71"/>
      <c r="E114" s="71"/>
      <c r="F114" s="71"/>
      <c r="G114" s="72"/>
    </row>
    <row r="115" spans="2:7" ht="12.75">
      <c r="B115" s="73"/>
      <c r="C115" s="22"/>
      <c r="D115" s="73" t="s">
        <v>77</v>
      </c>
      <c r="E115" s="22"/>
      <c r="F115" s="22"/>
      <c r="G115" s="75"/>
    </row>
    <row r="116" spans="2:7" ht="12.75">
      <c r="B116" s="128" t="s">
        <v>75</v>
      </c>
      <c r="C116" s="83" t="s">
        <v>75</v>
      </c>
      <c r="D116" s="122">
        <v>0.2</v>
      </c>
      <c r="E116" s="79">
        <v>0.3</v>
      </c>
      <c r="F116" s="79">
        <v>0.4</v>
      </c>
      <c r="G116" s="129">
        <v>0.5</v>
      </c>
    </row>
    <row r="117" spans="2:7" ht="12.75">
      <c r="B117" s="88" t="s">
        <v>12</v>
      </c>
      <c r="C117" s="66" t="s">
        <v>11</v>
      </c>
      <c r="D117" s="88" t="s">
        <v>76</v>
      </c>
      <c r="E117" s="64" t="s">
        <v>76</v>
      </c>
      <c r="F117" s="64" t="s">
        <v>76</v>
      </c>
      <c r="G117" s="66" t="s">
        <v>76</v>
      </c>
    </row>
    <row r="118" spans="2:7" ht="12.75">
      <c r="B118" s="130">
        <v>50</v>
      </c>
      <c r="C118" s="91">
        <f>B118*3.28^2</f>
        <v>537.92</v>
      </c>
      <c r="D118" s="123">
        <f aca="true" t="shared" si="4" ref="D118:G130">0.14*SQRT(D$116*$B118)</f>
        <v>0.44271887242357316</v>
      </c>
      <c r="E118" s="84">
        <f t="shared" si="4"/>
        <v>0.5422176684690384</v>
      </c>
      <c r="F118" s="84">
        <f t="shared" si="4"/>
        <v>0.6260990336999412</v>
      </c>
      <c r="G118" s="109">
        <f t="shared" si="4"/>
        <v>0.7000000000000001</v>
      </c>
    </row>
    <row r="119" spans="2:7" ht="12.75">
      <c r="B119" s="130">
        <v>70</v>
      </c>
      <c r="C119" s="91">
        <f aca="true" t="shared" si="5" ref="C119:C130">B119*3.28^2</f>
        <v>753.0879999999999</v>
      </c>
      <c r="D119" s="123">
        <f t="shared" si="4"/>
        <v>0.5238320341483519</v>
      </c>
      <c r="E119" s="84">
        <f t="shared" si="4"/>
        <v>0.6415605972938176</v>
      </c>
      <c r="F119" s="84">
        <f t="shared" si="4"/>
        <v>0.7408103670980855</v>
      </c>
      <c r="G119" s="109">
        <f t="shared" si="4"/>
        <v>0.8282511696339463</v>
      </c>
    </row>
    <row r="120" spans="2:7" ht="12.75">
      <c r="B120" s="130">
        <v>90</v>
      </c>
      <c r="C120" s="91">
        <f t="shared" si="5"/>
        <v>968.2559999999999</v>
      </c>
      <c r="D120" s="123">
        <f t="shared" si="4"/>
        <v>0.5939696961966999</v>
      </c>
      <c r="E120" s="84">
        <f t="shared" si="4"/>
        <v>0.7274613391789285</v>
      </c>
      <c r="F120" s="84">
        <f t="shared" si="4"/>
        <v>0.8400000000000001</v>
      </c>
      <c r="G120" s="109">
        <f t="shared" si="4"/>
        <v>0.9391485505499118</v>
      </c>
    </row>
    <row r="121" spans="2:7" ht="12.75">
      <c r="B121" s="130">
        <v>110</v>
      </c>
      <c r="C121" s="91">
        <f t="shared" si="5"/>
        <v>1183.4239999999998</v>
      </c>
      <c r="D121" s="123">
        <f t="shared" si="4"/>
        <v>0.6566582063752803</v>
      </c>
      <c r="E121" s="84">
        <f t="shared" si="4"/>
        <v>0.8042387705153241</v>
      </c>
      <c r="F121" s="84">
        <f t="shared" si="4"/>
        <v>0.928654941299512</v>
      </c>
      <c r="G121" s="109">
        <f t="shared" si="4"/>
        <v>1.0382677881933928</v>
      </c>
    </row>
    <row r="122" spans="2:7" ht="12.75">
      <c r="B122" s="130">
        <v>130</v>
      </c>
      <c r="C122" s="91">
        <f t="shared" si="5"/>
        <v>1398.5919999999999</v>
      </c>
      <c r="D122" s="123">
        <f t="shared" si="4"/>
        <v>0.7138627319029899</v>
      </c>
      <c r="E122" s="84">
        <f t="shared" si="4"/>
        <v>0.8742997197757758</v>
      </c>
      <c r="F122" s="84">
        <f t="shared" si="4"/>
        <v>1.009554357129917</v>
      </c>
      <c r="G122" s="109">
        <f t="shared" si="4"/>
        <v>1.128716084761797</v>
      </c>
    </row>
    <row r="123" spans="2:7" ht="12.75">
      <c r="B123" s="130">
        <v>150</v>
      </c>
      <c r="C123" s="91">
        <f t="shared" si="5"/>
        <v>1613.7599999999998</v>
      </c>
      <c r="D123" s="123">
        <f t="shared" si="4"/>
        <v>0.7668115805072326</v>
      </c>
      <c r="E123" s="84">
        <f t="shared" si="4"/>
        <v>0.9391485505499118</v>
      </c>
      <c r="F123" s="84">
        <f t="shared" si="4"/>
        <v>1.0844353369380768</v>
      </c>
      <c r="G123" s="109">
        <f t="shared" si="4"/>
        <v>1.2124355652982144</v>
      </c>
    </row>
    <row r="124" spans="2:7" ht="12.75">
      <c r="B124" s="130">
        <v>170</v>
      </c>
      <c r="C124" s="91">
        <f t="shared" si="5"/>
        <v>1828.9279999999997</v>
      </c>
      <c r="D124" s="123">
        <f t="shared" si="4"/>
        <v>0.8163332652783422</v>
      </c>
      <c r="E124" s="84">
        <f t="shared" si="4"/>
        <v>0.9997999799959991</v>
      </c>
      <c r="F124" s="84">
        <f t="shared" si="4"/>
        <v>1.154469575172945</v>
      </c>
      <c r="G124" s="109">
        <f t="shared" si="4"/>
        <v>1.2907362240210043</v>
      </c>
    </row>
    <row r="125" spans="2:7" ht="12.75">
      <c r="B125" s="130">
        <v>190</v>
      </c>
      <c r="C125" s="91">
        <f t="shared" si="5"/>
        <v>2044.0959999999995</v>
      </c>
      <c r="D125" s="123">
        <f t="shared" si="4"/>
        <v>0.8630179604156567</v>
      </c>
      <c r="E125" s="84">
        <f t="shared" si="4"/>
        <v>1.0569768209379051</v>
      </c>
      <c r="F125" s="84">
        <f t="shared" si="4"/>
        <v>1.2204917041913887</v>
      </c>
      <c r="G125" s="109">
        <f t="shared" si="4"/>
        <v>1.364551208273255</v>
      </c>
    </row>
    <row r="126" spans="2:7" ht="12.75">
      <c r="B126" s="130">
        <v>210</v>
      </c>
      <c r="C126" s="91">
        <f t="shared" si="5"/>
        <v>2259.2639999999997</v>
      </c>
      <c r="D126" s="123">
        <f t="shared" si="4"/>
        <v>0.9073036977771005</v>
      </c>
      <c r="E126" s="84">
        <f t="shared" si="4"/>
        <v>1.1112155506471282</v>
      </c>
      <c r="F126" s="84">
        <f t="shared" si="4"/>
        <v>1.2831211945876353</v>
      </c>
      <c r="G126" s="109">
        <f t="shared" si="4"/>
        <v>1.434573107234344</v>
      </c>
    </row>
    <row r="127" spans="2:7" ht="12.75">
      <c r="B127" s="130">
        <v>230</v>
      </c>
      <c r="C127" s="91">
        <f t="shared" si="5"/>
        <v>2474.432</v>
      </c>
      <c r="D127" s="123">
        <f t="shared" si="4"/>
        <v>0.9495261976375377</v>
      </c>
      <c r="E127" s="84">
        <f t="shared" si="4"/>
        <v>1.1629273408085306</v>
      </c>
      <c r="F127" s="84">
        <f t="shared" si="4"/>
        <v>1.3428328265275615</v>
      </c>
      <c r="G127" s="109">
        <f t="shared" si="4"/>
        <v>1.5013327412669053</v>
      </c>
    </row>
    <row r="128" spans="2:7" ht="12.75">
      <c r="B128" s="130">
        <v>250</v>
      </c>
      <c r="C128" s="91">
        <f t="shared" si="5"/>
        <v>2689.5999999999995</v>
      </c>
      <c r="D128" s="123">
        <f t="shared" si="4"/>
        <v>0.9899494936611667</v>
      </c>
      <c r="E128" s="84">
        <f t="shared" si="4"/>
        <v>1.2124355652982144</v>
      </c>
      <c r="F128" s="84">
        <f t="shared" si="4"/>
        <v>1.4000000000000001</v>
      </c>
      <c r="G128" s="109">
        <f t="shared" si="4"/>
        <v>1.565247584249853</v>
      </c>
    </row>
    <row r="129" spans="2:7" ht="12.75">
      <c r="B129" s="130">
        <v>270</v>
      </c>
      <c r="C129" s="91">
        <f t="shared" si="5"/>
        <v>2904.7679999999996</v>
      </c>
      <c r="D129" s="123">
        <f t="shared" si="4"/>
        <v>1.0287856919689349</v>
      </c>
      <c r="E129" s="84">
        <f t="shared" si="4"/>
        <v>1.2600000000000002</v>
      </c>
      <c r="F129" s="84">
        <f t="shared" si="4"/>
        <v>1.454922678357857</v>
      </c>
      <c r="G129" s="109">
        <f t="shared" si="4"/>
        <v>1.626653005407115</v>
      </c>
    </row>
    <row r="130" spans="2:7" ht="12.75">
      <c r="B130" s="130">
        <v>290</v>
      </c>
      <c r="C130" s="91">
        <f t="shared" si="5"/>
        <v>3119.9359999999997</v>
      </c>
      <c r="D130" s="123">
        <f t="shared" si="4"/>
        <v>1.0662082348209474</v>
      </c>
      <c r="E130" s="84">
        <f t="shared" si="4"/>
        <v>1.3058330674324343</v>
      </c>
      <c r="F130" s="84">
        <f t="shared" si="4"/>
        <v>1.507846145997661</v>
      </c>
      <c r="G130" s="109">
        <f t="shared" si="4"/>
        <v>1.6858232410309215</v>
      </c>
    </row>
    <row r="131" spans="2:7" ht="12.75">
      <c r="B131" s="76"/>
      <c r="C131" s="17"/>
      <c r="D131" s="17"/>
      <c r="E131" s="17"/>
      <c r="F131" s="17"/>
      <c r="G131" s="77"/>
    </row>
    <row r="133" spans="2:4" ht="12.75">
      <c r="B133" s="126" t="s">
        <v>68</v>
      </c>
      <c r="C133" s="127">
        <v>520</v>
      </c>
      <c r="D133" s="95" t="s">
        <v>11</v>
      </c>
    </row>
    <row r="134" spans="2:4" ht="12.75">
      <c r="B134" s="124" t="s">
        <v>67</v>
      </c>
      <c r="C134" s="125">
        <f>C133/3.28^2</f>
        <v>48.33432480666271</v>
      </c>
      <c r="D134" s="77" t="s">
        <v>12</v>
      </c>
    </row>
    <row r="145" spans="6:8" ht="12.75">
      <c r="F145" s="132" t="s">
        <v>90</v>
      </c>
      <c r="G145" s="71"/>
      <c r="H145" s="72"/>
    </row>
    <row r="146" spans="6:8" ht="12.75">
      <c r="F146" s="124" t="s">
        <v>93</v>
      </c>
      <c r="G146" s="125">
        <f>H12</f>
        <v>162.04955</v>
      </c>
      <c r="H146" s="77" t="s">
        <v>12</v>
      </c>
    </row>
    <row r="154" spans="1:8" ht="12.75">
      <c r="A154" s="132" t="s">
        <v>82</v>
      </c>
      <c r="B154" s="71"/>
      <c r="C154" s="71"/>
      <c r="D154" s="71"/>
      <c r="E154" s="71"/>
      <c r="F154" s="71"/>
      <c r="G154" s="71"/>
      <c r="H154" s="72"/>
    </row>
    <row r="155" spans="1:8" ht="12.75">
      <c r="A155" s="122"/>
      <c r="B155" s="22"/>
      <c r="C155" s="22"/>
      <c r="D155" s="15" t="s">
        <v>1</v>
      </c>
      <c r="E155" s="92">
        <v>23</v>
      </c>
      <c r="F155" s="22" t="s">
        <v>2</v>
      </c>
      <c r="G155" s="93">
        <f>E155*12*0.0254</f>
        <v>7.0104</v>
      </c>
      <c r="H155" s="75" t="s">
        <v>3</v>
      </c>
    </row>
    <row r="156" spans="1:8" ht="12.75">
      <c r="A156" s="73"/>
      <c r="B156" s="22"/>
      <c r="C156" s="78" t="s">
        <v>5</v>
      </c>
      <c r="D156" s="15" t="s">
        <v>6</v>
      </c>
      <c r="E156" s="92">
        <v>17</v>
      </c>
      <c r="F156" s="22" t="s">
        <v>2</v>
      </c>
      <c r="G156" s="93">
        <f>E156*12*0.0254</f>
        <v>5.1815999999999995</v>
      </c>
      <c r="H156" s="75" t="s">
        <v>3</v>
      </c>
    </row>
    <row r="157" spans="1:8" ht="12.75">
      <c r="A157" s="76"/>
      <c r="B157" s="17"/>
      <c r="C157" s="17"/>
      <c r="D157" s="14" t="s">
        <v>8</v>
      </c>
      <c r="E157" s="86">
        <v>12</v>
      </c>
      <c r="F157" s="17" t="s">
        <v>2</v>
      </c>
      <c r="G157" s="87">
        <f>E157*12*0.0254</f>
        <v>3.6576</v>
      </c>
      <c r="H157" s="77" t="s">
        <v>3</v>
      </c>
    </row>
    <row r="158" spans="1:8" ht="12.75">
      <c r="A158" s="73"/>
      <c r="B158" s="22"/>
      <c r="C158" s="22"/>
      <c r="D158" s="22"/>
      <c r="E158" s="22"/>
      <c r="F158" s="22"/>
      <c r="G158" s="22"/>
      <c r="H158" s="75"/>
    </row>
    <row r="159" spans="1:8" ht="12.75">
      <c r="A159" s="73"/>
      <c r="B159" s="22"/>
      <c r="C159" s="22"/>
      <c r="D159" s="15" t="s">
        <v>10</v>
      </c>
      <c r="E159" s="91">
        <f>E155*E156</f>
        <v>391</v>
      </c>
      <c r="F159" s="22" t="s">
        <v>11</v>
      </c>
      <c r="G159" s="6">
        <f>E159*(12*0.0254)^2</f>
        <v>36.32508863999999</v>
      </c>
      <c r="H159" s="75" t="s">
        <v>12</v>
      </c>
    </row>
    <row r="160" spans="1:8" ht="12.75">
      <c r="A160" s="73"/>
      <c r="B160" s="22"/>
      <c r="C160" s="22"/>
      <c r="D160" s="15" t="s">
        <v>13</v>
      </c>
      <c r="E160" s="91">
        <f>E159*E157</f>
        <v>4692</v>
      </c>
      <c r="F160" s="22" t="s">
        <v>14</v>
      </c>
      <c r="G160" s="6">
        <f>E160*(12*0.0254)^3</f>
        <v>132.86264420966396</v>
      </c>
      <c r="H160" s="75" t="s">
        <v>15</v>
      </c>
    </row>
    <row r="161" spans="1:8" ht="12.75">
      <c r="A161" s="73"/>
      <c r="B161" s="22"/>
      <c r="C161" s="22"/>
      <c r="D161" s="15" t="s">
        <v>16</v>
      </c>
      <c r="E161" s="91">
        <f>2*(E157*E156+E155*E156+E155*E157)</f>
        <v>1742</v>
      </c>
      <c r="F161" s="22" t="s">
        <v>11</v>
      </c>
      <c r="G161" s="6">
        <f>E161*(12*0.0254)^2</f>
        <v>161.83709567999998</v>
      </c>
      <c r="H161" s="75" t="s">
        <v>12</v>
      </c>
    </row>
    <row r="162" spans="1:8" ht="12.75">
      <c r="A162" s="73"/>
      <c r="B162" s="22"/>
      <c r="C162" s="22"/>
      <c r="D162" s="22"/>
      <c r="E162" s="83"/>
      <c r="F162" s="22"/>
      <c r="G162" s="6"/>
      <c r="H162" s="75"/>
    </row>
    <row r="163" spans="1:8" ht="12.75">
      <c r="A163" s="73"/>
      <c r="B163" s="22"/>
      <c r="C163" s="17"/>
      <c r="D163" s="14" t="s">
        <v>65</v>
      </c>
      <c r="E163" s="88" t="s">
        <v>49</v>
      </c>
      <c r="F163" s="22"/>
      <c r="G163" s="22"/>
      <c r="H163" s="75"/>
    </row>
    <row r="164" spans="1:8" ht="12.75">
      <c r="A164" s="73"/>
      <c r="B164" s="22"/>
      <c r="C164" s="22"/>
      <c r="D164" s="92">
        <v>10</v>
      </c>
      <c r="E164" s="89">
        <f aca="true" t="shared" si="6" ref="E164:E174">163*G$160/(G$161*D164/100)</f>
        <v>1338.1734833524683</v>
      </c>
      <c r="F164" s="22"/>
      <c r="G164" s="22"/>
      <c r="H164" s="75"/>
    </row>
    <row r="165" spans="1:8" ht="12.75">
      <c r="A165" s="73"/>
      <c r="B165" s="22"/>
      <c r="C165" s="22"/>
      <c r="D165" s="92">
        <v>15</v>
      </c>
      <c r="E165" s="89">
        <f t="shared" si="6"/>
        <v>892.1156555683121</v>
      </c>
      <c r="F165" s="22"/>
      <c r="G165" s="22"/>
      <c r="H165" s="75"/>
    </row>
    <row r="166" spans="1:8" ht="12.75">
      <c r="A166" s="73"/>
      <c r="B166" s="22"/>
      <c r="C166" s="22"/>
      <c r="D166" s="92">
        <v>20</v>
      </c>
      <c r="E166" s="89">
        <f t="shared" si="6"/>
        <v>669.0867416762342</v>
      </c>
      <c r="F166" s="22"/>
      <c r="G166" s="22"/>
      <c r="H166" s="75"/>
    </row>
    <row r="167" spans="1:8" ht="12.75">
      <c r="A167" s="73"/>
      <c r="B167" s="22"/>
      <c r="C167" s="22"/>
      <c r="D167" s="92">
        <v>25</v>
      </c>
      <c r="E167" s="89">
        <f t="shared" si="6"/>
        <v>535.2693933409873</v>
      </c>
      <c r="F167" s="22"/>
      <c r="G167" s="22"/>
      <c r="H167" s="75"/>
    </row>
    <row r="168" spans="1:8" ht="12.75">
      <c r="A168" s="73"/>
      <c r="B168" s="22"/>
      <c r="C168" s="22"/>
      <c r="D168" s="92">
        <v>30</v>
      </c>
      <c r="E168" s="89">
        <f t="shared" si="6"/>
        <v>446.0578277841561</v>
      </c>
      <c r="F168" s="22"/>
      <c r="G168" s="22"/>
      <c r="H168" s="75"/>
    </row>
    <row r="169" spans="1:8" ht="12.75">
      <c r="A169" s="73"/>
      <c r="B169" s="22"/>
      <c r="C169" s="22"/>
      <c r="D169" s="92">
        <v>35</v>
      </c>
      <c r="E169" s="89">
        <f t="shared" si="6"/>
        <v>382.33528095784806</v>
      </c>
      <c r="F169" s="22"/>
      <c r="G169" s="22"/>
      <c r="H169" s="75"/>
    </row>
    <row r="170" spans="1:8" ht="12.75">
      <c r="A170" s="73"/>
      <c r="B170" s="22"/>
      <c r="C170" s="22"/>
      <c r="D170" s="92">
        <v>40</v>
      </c>
      <c r="E170" s="89">
        <f t="shared" si="6"/>
        <v>334.5433708381171</v>
      </c>
      <c r="F170" s="22"/>
      <c r="G170" s="22"/>
      <c r="H170" s="75"/>
    </row>
    <row r="171" spans="1:8" ht="12.75">
      <c r="A171" s="73"/>
      <c r="B171" s="22"/>
      <c r="C171" s="22"/>
      <c r="D171" s="92">
        <v>45</v>
      </c>
      <c r="E171" s="89">
        <f t="shared" si="6"/>
        <v>297.3718851894374</v>
      </c>
      <c r="F171" s="22"/>
      <c r="G171" s="22"/>
      <c r="H171" s="75"/>
    </row>
    <row r="172" spans="1:8" ht="12.75">
      <c r="A172" s="73"/>
      <c r="B172" s="22"/>
      <c r="C172" s="22"/>
      <c r="D172" s="92">
        <v>50</v>
      </c>
      <c r="E172" s="89">
        <f t="shared" si="6"/>
        <v>267.63469667049367</v>
      </c>
      <c r="F172" s="22"/>
      <c r="G172" s="22"/>
      <c r="H172" s="75"/>
    </row>
    <row r="173" spans="1:8" ht="12.75">
      <c r="A173" s="73"/>
      <c r="B173" s="22"/>
      <c r="C173" s="22"/>
      <c r="D173" s="92">
        <v>55</v>
      </c>
      <c r="E173" s="89">
        <f t="shared" si="6"/>
        <v>243.3042697004488</v>
      </c>
      <c r="F173" s="22"/>
      <c r="G173" s="22"/>
      <c r="H173" s="75"/>
    </row>
    <row r="174" spans="1:8" ht="12.75">
      <c r="A174" s="73"/>
      <c r="B174" s="22"/>
      <c r="C174" s="22"/>
      <c r="D174" s="92">
        <v>60</v>
      </c>
      <c r="E174" s="191">
        <f t="shared" si="6"/>
        <v>223.02891389207804</v>
      </c>
      <c r="F174" s="22"/>
      <c r="G174" s="22"/>
      <c r="H174" s="75"/>
    </row>
    <row r="175" spans="1:8" ht="12.75">
      <c r="A175" s="76"/>
      <c r="B175" s="17"/>
      <c r="C175" s="17"/>
      <c r="D175" s="17"/>
      <c r="E175" s="17"/>
      <c r="F175" s="17"/>
      <c r="G175" s="17"/>
      <c r="H175" s="77"/>
    </row>
    <row r="177" spans="1:3" ht="12.75">
      <c r="A177" s="97" t="s">
        <v>68</v>
      </c>
      <c r="B177" s="94">
        <v>5</v>
      </c>
      <c r="C177" s="95" t="s">
        <v>3</v>
      </c>
    </row>
    <row r="178" spans="1:3" ht="12.75">
      <c r="A178" s="96" t="s">
        <v>67</v>
      </c>
      <c r="B178" s="7">
        <f>B177*(100/2.54)/12</f>
        <v>16.404199475065617</v>
      </c>
      <c r="C178" s="77" t="s">
        <v>66</v>
      </c>
    </row>
    <row r="184" ht="12.75">
      <c r="E184" s="121" t="s">
        <v>87</v>
      </c>
    </row>
    <row r="185" ht="13.5" thickBot="1"/>
    <row r="186" spans="5:13" ht="12.75">
      <c r="E186" s="137" t="s">
        <v>88</v>
      </c>
      <c r="F186" s="138"/>
      <c r="G186" s="138"/>
      <c r="H186" s="138"/>
      <c r="I186" s="138"/>
      <c r="J186" s="138"/>
      <c r="K186" s="138"/>
      <c r="L186" s="138"/>
      <c r="M186" s="139"/>
    </row>
    <row r="187" spans="5:13" ht="12.75">
      <c r="E187" s="140"/>
      <c r="F187" s="22"/>
      <c r="G187" s="22"/>
      <c r="H187" s="22"/>
      <c r="I187" s="15" t="s">
        <v>64</v>
      </c>
      <c r="J187" s="74">
        <v>2.3</v>
      </c>
      <c r="K187" s="22" t="s">
        <v>3</v>
      </c>
      <c r="L187" s="6">
        <f>J187*100/(2.54)</f>
        <v>90.5511811023622</v>
      </c>
      <c r="M187" s="141" t="s">
        <v>60</v>
      </c>
    </row>
    <row r="188" spans="5:13" ht="12.75">
      <c r="E188" s="140"/>
      <c r="F188" s="22"/>
      <c r="G188" s="22"/>
      <c r="H188" s="22"/>
      <c r="I188" s="15" t="s">
        <v>52</v>
      </c>
      <c r="J188" s="74">
        <v>1.7</v>
      </c>
      <c r="K188" s="22" t="s">
        <v>3</v>
      </c>
      <c r="L188" s="6">
        <f>J188*100/(2.54)</f>
        <v>66.92913385826772</v>
      </c>
      <c r="M188" s="141" t="s">
        <v>60</v>
      </c>
    </row>
    <row r="189" spans="5:13" ht="12.75">
      <c r="E189" s="140"/>
      <c r="F189" s="22"/>
      <c r="G189" s="22"/>
      <c r="H189" s="22"/>
      <c r="I189" s="22"/>
      <c r="J189" s="22"/>
      <c r="K189" s="22"/>
      <c r="L189" s="6" t="s">
        <v>32</v>
      </c>
      <c r="M189" s="141" t="s">
        <v>32</v>
      </c>
    </row>
    <row r="190" spans="5:13" ht="12.75">
      <c r="E190" s="140"/>
      <c r="F190" s="22"/>
      <c r="G190" s="22"/>
      <c r="H190" s="22"/>
      <c r="I190" s="15" t="s">
        <v>50</v>
      </c>
      <c r="J190" s="74">
        <v>0.7</v>
      </c>
      <c r="K190" s="22" t="s">
        <v>3</v>
      </c>
      <c r="L190" s="6">
        <f>J190*100/(2.54)</f>
        <v>27.559055118110237</v>
      </c>
      <c r="M190" s="141" t="s">
        <v>60</v>
      </c>
    </row>
    <row r="191" spans="5:13" ht="12.75">
      <c r="E191" s="140"/>
      <c r="F191" s="22"/>
      <c r="G191" s="22"/>
      <c r="H191" s="22"/>
      <c r="I191" s="15" t="s">
        <v>51</v>
      </c>
      <c r="J191" s="74">
        <v>1</v>
      </c>
      <c r="K191" s="22" t="s">
        <v>3</v>
      </c>
      <c r="L191" s="6">
        <f>J191*100/(2.54)</f>
        <v>39.37007874015748</v>
      </c>
      <c r="M191" s="141" t="s">
        <v>60</v>
      </c>
    </row>
    <row r="192" spans="5:13" ht="12.75">
      <c r="E192" s="140"/>
      <c r="F192" s="22"/>
      <c r="G192" s="22"/>
      <c r="H192" s="22"/>
      <c r="I192" s="15"/>
      <c r="J192" s="22"/>
      <c r="K192" s="22"/>
      <c r="L192" s="22"/>
      <c r="M192" s="141"/>
    </row>
    <row r="193" spans="5:13" ht="12.75">
      <c r="E193" s="142"/>
      <c r="F193" s="17"/>
      <c r="G193" s="17"/>
      <c r="H193" s="17"/>
      <c r="I193" s="80" t="s">
        <v>61</v>
      </c>
      <c r="J193" s="67">
        <v>5</v>
      </c>
      <c r="K193" s="81" t="s">
        <v>62</v>
      </c>
      <c r="L193" s="17"/>
      <c r="M193" s="143"/>
    </row>
    <row r="194" spans="5:13" ht="13.5" thickBot="1">
      <c r="E194" s="140"/>
      <c r="F194" s="22"/>
      <c r="G194" s="22"/>
      <c r="H194" s="22"/>
      <c r="I194" s="15"/>
      <c r="J194" s="22"/>
      <c r="K194" s="22"/>
      <c r="L194" s="22"/>
      <c r="M194" s="141"/>
    </row>
    <row r="195" spans="5:13" ht="13.5" thickBot="1">
      <c r="E195" s="140"/>
      <c r="F195" s="79" t="s">
        <v>63</v>
      </c>
      <c r="G195" s="22"/>
      <c r="H195" s="22"/>
      <c r="I195" s="15" t="s">
        <v>53</v>
      </c>
      <c r="J195" s="68">
        <f>-20*LOG((J188/J187))</f>
        <v>2.625578292786378</v>
      </c>
      <c r="K195" s="22" t="s">
        <v>57</v>
      </c>
      <c r="L195" s="22"/>
      <c r="M195" s="141"/>
    </row>
    <row r="196" spans="5:13" ht="12.75">
      <c r="E196" s="140"/>
      <c r="F196" s="79"/>
      <c r="G196" s="22"/>
      <c r="H196" s="22"/>
      <c r="I196" s="15" t="s">
        <v>74</v>
      </c>
      <c r="J196" s="69">
        <f>10*LOG(1+(J188/J187)^2)</f>
        <v>1.8929763163613726</v>
      </c>
      <c r="K196" s="22" t="s">
        <v>59</v>
      </c>
      <c r="L196" s="22"/>
      <c r="M196" s="141"/>
    </row>
    <row r="197" spans="5:13" ht="12.75">
      <c r="E197" s="140"/>
      <c r="F197" s="22"/>
      <c r="G197" s="22"/>
      <c r="H197" s="22"/>
      <c r="I197" s="22"/>
      <c r="J197" s="22"/>
      <c r="K197" s="22"/>
      <c r="L197" s="22"/>
      <c r="M197" s="141"/>
    </row>
    <row r="198" spans="5:13" ht="12.75">
      <c r="E198" s="140"/>
      <c r="F198" s="22"/>
      <c r="G198" s="22"/>
      <c r="H198" s="22"/>
      <c r="I198" s="15" t="s">
        <v>54</v>
      </c>
      <c r="J198" s="69">
        <f>20*LOG((J191/J190))</f>
        <v>3.0980391997148637</v>
      </c>
      <c r="K198" s="22" t="s">
        <v>58</v>
      </c>
      <c r="L198" s="22"/>
      <c r="M198" s="141"/>
    </row>
    <row r="199" spans="5:13" ht="12.75">
      <c r="E199" s="140"/>
      <c r="F199" s="22"/>
      <c r="G199" s="22"/>
      <c r="H199" s="22"/>
      <c r="I199" s="15" t="s">
        <v>70</v>
      </c>
      <c r="J199" s="69">
        <f>10*LOG(1+(J191/J190)^2)</f>
        <v>4.8299018838376035</v>
      </c>
      <c r="K199" s="22" t="s">
        <v>59</v>
      </c>
      <c r="L199" s="22"/>
      <c r="M199" s="141"/>
    </row>
    <row r="200" spans="5:13" ht="12.75">
      <c r="E200" s="140"/>
      <c r="F200" s="22"/>
      <c r="G200" s="22"/>
      <c r="H200" s="22"/>
      <c r="I200" s="15" t="s">
        <v>54</v>
      </c>
      <c r="J200" s="69">
        <f>J193+J199-J198-J196</f>
        <v>4.838886367761368</v>
      </c>
      <c r="K200" s="22" t="s">
        <v>69</v>
      </c>
      <c r="L200" s="22"/>
      <c r="M200" s="141"/>
    </row>
    <row r="201" spans="5:13" ht="13.5" thickBot="1">
      <c r="E201" s="140"/>
      <c r="F201" s="22"/>
      <c r="G201" s="22"/>
      <c r="H201" s="22"/>
      <c r="I201" s="22"/>
      <c r="J201" s="22"/>
      <c r="K201" s="22"/>
      <c r="L201" s="22"/>
      <c r="M201" s="141"/>
    </row>
    <row r="202" spans="5:13" ht="13.5" thickBot="1">
      <c r="E202" s="140"/>
      <c r="F202" s="22"/>
      <c r="G202" s="22"/>
      <c r="H202" s="22"/>
      <c r="I202" s="78" t="s">
        <v>56</v>
      </c>
      <c r="J202" s="68">
        <f>J195-J200</f>
        <v>-2.2133080749749894</v>
      </c>
      <c r="K202" s="79" t="s">
        <v>55</v>
      </c>
      <c r="L202" s="22"/>
      <c r="M202" s="141"/>
    </row>
    <row r="203" spans="5:13" ht="12.75">
      <c r="E203" s="140"/>
      <c r="F203" s="22"/>
      <c r="G203" s="22"/>
      <c r="H203" s="22"/>
      <c r="I203" s="15" t="s">
        <v>71</v>
      </c>
      <c r="J203" s="69">
        <f>J193+J199-J196</f>
        <v>7.936925567476231</v>
      </c>
      <c r="K203" s="22" t="s">
        <v>69</v>
      </c>
      <c r="L203" s="22"/>
      <c r="M203" s="141"/>
    </row>
    <row r="204" spans="5:13" ht="12.75">
      <c r="E204" s="140"/>
      <c r="F204" s="22"/>
      <c r="G204" s="22"/>
      <c r="H204" s="22"/>
      <c r="I204" s="15" t="s">
        <v>73</v>
      </c>
      <c r="J204" s="69">
        <f>10*LOG(1+(10^(-J203/20))^2)</f>
        <v>0.647603637702143</v>
      </c>
      <c r="K204" s="22" t="s">
        <v>72</v>
      </c>
      <c r="L204" s="22"/>
      <c r="M204" s="141"/>
    </row>
    <row r="205" spans="5:13" ht="13.5" thickBot="1">
      <c r="E205" s="144"/>
      <c r="F205" s="145"/>
      <c r="G205" s="145"/>
      <c r="H205" s="145"/>
      <c r="I205" s="145"/>
      <c r="J205" s="145"/>
      <c r="K205" s="145"/>
      <c r="L205" s="145"/>
      <c r="M205" s="146"/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60"/>
  <sheetViews>
    <sheetView tabSelected="1" workbookViewId="0" topLeftCell="A21">
      <selection activeCell="D64" sqref="D64"/>
    </sheetView>
  </sheetViews>
  <sheetFormatPr defaultColWidth="9.140625" defaultRowHeight="12.75"/>
  <sheetData>
    <row r="2" spans="2:12" ht="12.75">
      <c r="B2" s="1" t="s">
        <v>83</v>
      </c>
      <c r="J2" s="61" t="s">
        <v>112</v>
      </c>
      <c r="K2" s="54"/>
      <c r="L2" s="30"/>
    </row>
    <row r="3" spans="2:12" ht="12.75">
      <c r="B3" s="62" t="s">
        <v>43</v>
      </c>
      <c r="K3" s="30"/>
      <c r="L3" s="30"/>
    </row>
    <row r="4" spans="2:12" ht="12.75">
      <c r="B4" s="62"/>
      <c r="K4" s="30"/>
      <c r="L4" s="30"/>
    </row>
    <row r="5" spans="2:9" ht="12.75">
      <c r="B5" s="131" t="s">
        <v>78</v>
      </c>
      <c r="C5" s="71"/>
      <c r="D5" s="71"/>
      <c r="E5" s="71"/>
      <c r="F5" s="71"/>
      <c r="G5" s="71"/>
      <c r="H5" s="71"/>
      <c r="I5" s="72"/>
    </row>
    <row r="6" spans="2:15" ht="12.75">
      <c r="B6" s="73"/>
      <c r="C6" s="22"/>
      <c r="D6" s="22"/>
      <c r="E6" s="98" t="s">
        <v>1</v>
      </c>
      <c r="F6" s="113">
        <v>26.2</v>
      </c>
      <c r="G6" s="99" t="s">
        <v>2</v>
      </c>
      <c r="H6" s="93">
        <f>F6*0.305</f>
        <v>7.991</v>
      </c>
      <c r="I6" s="75" t="s">
        <v>3</v>
      </c>
      <c r="J6" s="175"/>
      <c r="K6" s="176"/>
      <c r="L6" s="177" t="s">
        <v>4</v>
      </c>
      <c r="M6" s="178"/>
      <c r="N6" s="178"/>
      <c r="O6" s="179"/>
    </row>
    <row r="7" spans="2:15" ht="12.75">
      <c r="B7" s="100"/>
      <c r="C7" s="22"/>
      <c r="D7" s="43" t="s">
        <v>5</v>
      </c>
      <c r="E7" s="98" t="s">
        <v>6</v>
      </c>
      <c r="F7" s="113">
        <v>16.4</v>
      </c>
      <c r="G7" s="99" t="s">
        <v>2</v>
      </c>
      <c r="H7" s="93">
        <f>F7*0.305</f>
        <v>5.002</v>
      </c>
      <c r="I7" s="75" t="s">
        <v>3</v>
      </c>
      <c r="J7" s="180" t="s">
        <v>7</v>
      </c>
      <c r="K7" s="181"/>
      <c r="L7" s="182"/>
      <c r="M7" s="183"/>
      <c r="N7" s="184" t="s">
        <v>103</v>
      </c>
      <c r="O7" s="185" t="s">
        <v>104</v>
      </c>
    </row>
    <row r="8" spans="2:15" ht="12.75">
      <c r="B8" s="101"/>
      <c r="C8" s="17"/>
      <c r="D8" s="17"/>
      <c r="E8" s="57" t="s">
        <v>8</v>
      </c>
      <c r="F8" s="114">
        <v>8.2</v>
      </c>
      <c r="G8" s="90" t="s">
        <v>2</v>
      </c>
      <c r="H8" s="87">
        <f>F8*0.305</f>
        <v>2.501</v>
      </c>
      <c r="I8" s="77" t="s">
        <v>3</v>
      </c>
      <c r="J8" s="186">
        <f>1.1*F7/F8</f>
        <v>2.2</v>
      </c>
      <c r="K8" s="187">
        <f>F6/F8</f>
        <v>3.1951219512195124</v>
      </c>
      <c r="L8" s="187">
        <f>(4.5*F7/F8)-4</f>
        <v>5</v>
      </c>
      <c r="M8" s="183"/>
      <c r="N8" s="187">
        <f>F6/F8</f>
        <v>3.1951219512195124</v>
      </c>
      <c r="O8" s="188">
        <f>F7/F8</f>
        <v>2</v>
      </c>
    </row>
    <row r="9" spans="2:12" ht="12.75">
      <c r="B9" s="100"/>
      <c r="C9" s="22"/>
      <c r="D9" s="22"/>
      <c r="E9" s="98"/>
      <c r="F9" s="115"/>
      <c r="G9" s="102"/>
      <c r="H9" s="93"/>
      <c r="I9" s="75"/>
      <c r="J9" s="54"/>
      <c r="K9" s="30"/>
      <c r="L9" s="174" t="s">
        <v>9</v>
      </c>
    </row>
    <row r="10" spans="2:11" ht="12.75">
      <c r="B10" s="100"/>
      <c r="C10" s="22"/>
      <c r="D10" s="22"/>
      <c r="E10" s="15" t="s">
        <v>10</v>
      </c>
      <c r="F10" s="91">
        <f>H10*10.76</f>
        <v>430.08776631999996</v>
      </c>
      <c r="G10" s="22" t="s">
        <v>11</v>
      </c>
      <c r="H10" s="31">
        <f>H6*H7</f>
        <v>39.970982</v>
      </c>
      <c r="I10" s="75" t="s">
        <v>12</v>
      </c>
      <c r="K10" s="30"/>
    </row>
    <row r="11" spans="2:15" ht="12.75">
      <c r="B11" s="100"/>
      <c r="C11" s="22"/>
      <c r="D11" s="22"/>
      <c r="E11" s="15" t="s">
        <v>13</v>
      </c>
      <c r="F11" s="91">
        <f>H11*35.31</f>
        <v>3529.84981142442</v>
      </c>
      <c r="G11" s="22" t="s">
        <v>14</v>
      </c>
      <c r="H11" s="6">
        <f>H6*H7*H8</f>
        <v>99.967425982</v>
      </c>
      <c r="I11" s="75" t="s">
        <v>15</v>
      </c>
      <c r="K11" s="30"/>
      <c r="L11" s="31"/>
      <c r="M11" s="151"/>
      <c r="N11" s="22"/>
      <c r="O11" s="22"/>
    </row>
    <row r="12" spans="2:15" ht="12.75">
      <c r="B12" s="100"/>
      <c r="C12" s="22"/>
      <c r="D12" s="22"/>
      <c r="E12" s="15" t="s">
        <v>16</v>
      </c>
      <c r="F12" s="91">
        <f>H12*10.76</f>
        <v>1559.478542</v>
      </c>
      <c r="G12" s="22" t="s">
        <v>11</v>
      </c>
      <c r="H12" s="6">
        <f>2*(H6*H7+H6*H8+H7*H8)</f>
        <v>144.93295</v>
      </c>
      <c r="I12" s="75" t="s">
        <v>12</v>
      </c>
      <c r="K12" s="30"/>
      <c r="L12" s="192"/>
      <c r="M12" s="151"/>
      <c r="N12" s="22"/>
      <c r="O12" s="83"/>
    </row>
    <row r="13" spans="2:15" ht="12.75">
      <c r="B13" s="100"/>
      <c r="C13" s="22"/>
      <c r="D13" s="22"/>
      <c r="E13" s="15" t="s">
        <v>89</v>
      </c>
      <c r="F13" s="84">
        <f>F11/F12</f>
        <v>2.26348084719233</v>
      </c>
      <c r="G13" s="22" t="s">
        <v>2</v>
      </c>
      <c r="H13" s="93">
        <f>H11/H12</f>
        <v>0.6897494736842105</v>
      </c>
      <c r="I13" s="75" t="s">
        <v>3</v>
      </c>
      <c r="O13" s="83"/>
    </row>
    <row r="14" spans="2:15" ht="12.75">
      <c r="B14" s="100"/>
      <c r="C14" s="22"/>
      <c r="D14" s="22"/>
      <c r="E14" s="18" t="s">
        <v>17</v>
      </c>
      <c r="F14" s="148">
        <f>H14*3.28</f>
        <v>203.28127999999995</v>
      </c>
      <c r="G14" t="s">
        <v>2</v>
      </c>
      <c r="H14" s="3">
        <f>4*(H6+H7+H8)</f>
        <v>61.97599999999999</v>
      </c>
      <c r="I14" s="75" t="s">
        <v>3</v>
      </c>
      <c r="O14" s="83"/>
    </row>
    <row r="15" spans="2:15" ht="12.75">
      <c r="B15" s="100"/>
      <c r="C15" s="22"/>
      <c r="D15" s="22"/>
      <c r="E15" s="22"/>
      <c r="F15" s="83"/>
      <c r="G15" s="22"/>
      <c r="H15" s="22"/>
      <c r="I15" s="75"/>
      <c r="O15" s="91"/>
    </row>
    <row r="16" spans="2:15" ht="12.75">
      <c r="B16" s="100"/>
      <c r="C16" s="17"/>
      <c r="D16" s="17"/>
      <c r="E16" s="14" t="s">
        <v>18</v>
      </c>
      <c r="F16" s="116">
        <v>100</v>
      </c>
      <c r="G16" s="19" t="s">
        <v>19</v>
      </c>
      <c r="H16" s="22"/>
      <c r="I16" s="75"/>
      <c r="J16" s="3"/>
      <c r="O16" s="83"/>
    </row>
    <row r="17" spans="2:15" ht="12.75">
      <c r="B17" s="100"/>
      <c r="C17" s="22"/>
      <c r="D17" s="22"/>
      <c r="E17" s="15" t="s">
        <v>20</v>
      </c>
      <c r="F17" s="91">
        <f>((4*PI()/3)*H11*(F16/344)^3)+((PI()/4)*H12*(F16/344)^2)+H14*F16/(8*344)</f>
        <v>22.157859434658995</v>
      </c>
      <c r="G17" s="22"/>
      <c r="H17" s="22"/>
      <c r="I17" s="75"/>
      <c r="O17" s="22"/>
    </row>
    <row r="18" spans="2:15" ht="12.75">
      <c r="B18" s="100"/>
      <c r="C18" s="22"/>
      <c r="D18" s="22"/>
      <c r="E18" s="15" t="s">
        <v>21</v>
      </c>
      <c r="F18" s="69">
        <f>1/(4*PI()*H11*(F16^2)/344^3)</f>
        <v>3.2404621561903157</v>
      </c>
      <c r="G18" s="22" t="s">
        <v>22</v>
      </c>
      <c r="H18" s="22"/>
      <c r="I18" s="75"/>
      <c r="O18" s="22"/>
    </row>
    <row r="19" spans="2:15" ht="12.75">
      <c r="B19" s="100"/>
      <c r="C19" s="22"/>
      <c r="D19" s="22"/>
      <c r="E19" s="22"/>
      <c r="F19" s="115"/>
      <c r="G19" s="24"/>
      <c r="H19" s="22"/>
      <c r="I19" s="103"/>
      <c r="J19" s="16"/>
      <c r="O19" s="83"/>
    </row>
    <row r="20" spans="2:15" ht="12.75">
      <c r="B20" s="100"/>
      <c r="C20" s="17"/>
      <c r="D20" s="17"/>
      <c r="E20" s="14" t="s">
        <v>23</v>
      </c>
      <c r="F20" s="116">
        <v>250</v>
      </c>
      <c r="G20" s="19" t="s">
        <v>24</v>
      </c>
      <c r="H20" s="22"/>
      <c r="I20" s="103"/>
      <c r="J20" s="16"/>
      <c r="O20" s="83"/>
    </row>
    <row r="21" spans="2:15" ht="12.75">
      <c r="B21" s="100"/>
      <c r="C21" s="22"/>
      <c r="D21" s="22"/>
      <c r="E21" s="15" t="s">
        <v>25</v>
      </c>
      <c r="F21" s="69">
        <f>2200/F20</f>
        <v>8.8</v>
      </c>
      <c r="G21" s="16" t="s">
        <v>19</v>
      </c>
      <c r="H21" s="22"/>
      <c r="I21" s="103"/>
      <c r="J21" s="16"/>
      <c r="O21" s="83"/>
    </row>
    <row r="22" spans="2:15" ht="12.75">
      <c r="B22" s="100"/>
      <c r="C22" s="22"/>
      <c r="D22" s="22"/>
      <c r="E22" s="15" t="s">
        <v>26</v>
      </c>
      <c r="F22" s="91">
        <f>0.32*F20</f>
        <v>80</v>
      </c>
      <c r="G22" s="16" t="s">
        <v>24</v>
      </c>
      <c r="H22" s="22"/>
      <c r="I22" s="103"/>
      <c r="J22" s="16"/>
      <c r="O22" s="91"/>
    </row>
    <row r="23" spans="2:15" ht="12.75">
      <c r="B23" s="100"/>
      <c r="C23" s="22"/>
      <c r="D23" s="22"/>
      <c r="E23" s="15" t="s">
        <v>27</v>
      </c>
      <c r="F23" s="91">
        <f>1900*SQRT(F20/(H11*1000))</f>
        <v>95.01547643962633</v>
      </c>
      <c r="G23" s="16" t="s">
        <v>19</v>
      </c>
      <c r="H23" s="22"/>
      <c r="I23" s="75"/>
      <c r="O23" s="83"/>
    </row>
    <row r="24" spans="2:15" ht="12.75">
      <c r="B24" s="100"/>
      <c r="C24" s="22"/>
      <c r="D24" s="22"/>
      <c r="E24" s="15" t="s">
        <v>28</v>
      </c>
      <c r="F24" s="117">
        <f>0.1*SQRT(H11/(PI()*F20/1000))</f>
        <v>1.1281953729105068</v>
      </c>
      <c r="G24" s="34" t="s">
        <v>3</v>
      </c>
      <c r="H24" s="6">
        <f>3.28*F24*12</f>
        <v>44.40576987775754</v>
      </c>
      <c r="I24" s="75" t="s">
        <v>60</v>
      </c>
      <c r="O24" s="22"/>
    </row>
    <row r="25" spans="2:15" ht="12.75">
      <c r="B25" s="100"/>
      <c r="C25" s="22"/>
      <c r="D25" s="22"/>
      <c r="E25" s="15" t="s">
        <v>29</v>
      </c>
      <c r="F25" s="117">
        <f>0.1*SQRT(3*H11/(PI()*F20/1000))</f>
        <v>1.954091706745114</v>
      </c>
      <c r="G25" s="34" t="s">
        <v>3</v>
      </c>
      <c r="H25" s="6">
        <f>3.28*F25*12</f>
        <v>76.91304957748768</v>
      </c>
      <c r="I25" s="75" t="s">
        <v>60</v>
      </c>
      <c r="O25" s="22"/>
    </row>
    <row r="26" spans="2:15" ht="12.75">
      <c r="B26" s="100"/>
      <c r="C26" s="22"/>
      <c r="D26" s="22"/>
      <c r="E26" s="15" t="s">
        <v>30</v>
      </c>
      <c r="F26" s="118">
        <f>0.163*H11/(F20*H12/1000)</f>
        <v>0.4497166568421052</v>
      </c>
      <c r="G26" s="24"/>
      <c r="H26" s="22"/>
      <c r="I26" s="75"/>
      <c r="O26" s="83"/>
    </row>
    <row r="27" spans="2:15" ht="12.75">
      <c r="B27" s="100"/>
      <c r="C27" s="22"/>
      <c r="D27" s="22"/>
      <c r="E27" s="22"/>
      <c r="F27" s="115"/>
      <c r="G27" s="24"/>
      <c r="H27" s="22"/>
      <c r="I27" s="75"/>
      <c r="O27" s="83"/>
    </row>
    <row r="28" spans="2:15" ht="12.75">
      <c r="B28" s="100"/>
      <c r="C28" s="17"/>
      <c r="D28" s="17"/>
      <c r="E28" s="14" t="s">
        <v>31</v>
      </c>
      <c r="F28" s="119">
        <v>0.4</v>
      </c>
      <c r="G28" s="42" t="s">
        <v>32</v>
      </c>
      <c r="H28" s="22"/>
      <c r="I28" s="75"/>
      <c r="O28" s="83"/>
    </row>
    <row r="29" spans="2:15" ht="12.75">
      <c r="B29" s="100"/>
      <c r="C29" s="22"/>
      <c r="D29" s="22"/>
      <c r="E29" s="15" t="s">
        <v>35</v>
      </c>
      <c r="F29" s="120">
        <f>1000*0.163*H11/(H12*F28)</f>
        <v>281.07291052631575</v>
      </c>
      <c r="G29" s="34" t="s">
        <v>24</v>
      </c>
      <c r="H29" s="22"/>
      <c r="I29" s="75"/>
      <c r="O29" s="91"/>
    </row>
    <row r="30" spans="2:15" ht="12.75">
      <c r="B30" s="101"/>
      <c r="C30" s="17"/>
      <c r="D30" s="17"/>
      <c r="E30" s="14"/>
      <c r="F30" s="104"/>
      <c r="G30" s="105"/>
      <c r="H30" s="17"/>
      <c r="I30" s="77"/>
      <c r="O30" s="83"/>
    </row>
    <row r="31" ht="12.75">
      <c r="O31" s="22"/>
    </row>
    <row r="32" spans="2:15" ht="12.75">
      <c r="B32" s="97" t="s">
        <v>68</v>
      </c>
      <c r="C32" s="94">
        <v>5</v>
      </c>
      <c r="D32" s="95" t="s">
        <v>3</v>
      </c>
      <c r="G32" s="70" t="s">
        <v>107</v>
      </c>
      <c r="H32" s="71"/>
      <c r="I32" s="72"/>
      <c r="O32" s="22"/>
    </row>
    <row r="33" spans="2:15" ht="12.75">
      <c r="B33" s="96" t="s">
        <v>67</v>
      </c>
      <c r="C33" s="7">
        <f>C32*(100/2.54)/12</f>
        <v>16.404199475065617</v>
      </c>
      <c r="D33" s="77" t="s">
        <v>66</v>
      </c>
      <c r="G33" s="189" t="s">
        <v>106</v>
      </c>
      <c r="H33" s="183"/>
      <c r="I33" s="190"/>
      <c r="O33" s="22"/>
    </row>
    <row r="35" spans="2:4" ht="12.75">
      <c r="B35" s="126" t="s">
        <v>68</v>
      </c>
      <c r="C35" s="147">
        <v>8</v>
      </c>
      <c r="D35" s="95" t="s">
        <v>2</v>
      </c>
    </row>
    <row r="36" spans="2:4" ht="12.75">
      <c r="B36" s="124" t="s">
        <v>67</v>
      </c>
      <c r="C36" s="110">
        <f>C35*12*2.54/100</f>
        <v>2.4384</v>
      </c>
      <c r="D36" s="77" t="s">
        <v>3</v>
      </c>
    </row>
    <row r="39" spans="2:6" ht="12.75">
      <c r="B39" s="197"/>
      <c r="C39" s="46"/>
      <c r="D39" s="196"/>
      <c r="E39" s="170"/>
      <c r="F39" s="72"/>
    </row>
    <row r="40" spans="2:6" ht="12.75">
      <c r="B40" s="198" t="s">
        <v>94</v>
      </c>
      <c r="C40" s="194" t="s">
        <v>108</v>
      </c>
      <c r="D40" s="194" t="s">
        <v>109</v>
      </c>
      <c r="E40" s="84" t="s">
        <v>110</v>
      </c>
      <c r="F40" s="65" t="s">
        <v>96</v>
      </c>
    </row>
    <row r="41" spans="2:6" ht="12.75">
      <c r="B41" s="108" t="s">
        <v>24</v>
      </c>
      <c r="C41" s="195" t="s">
        <v>3</v>
      </c>
      <c r="D41" s="195" t="s">
        <v>3</v>
      </c>
      <c r="E41" s="110" t="s">
        <v>111</v>
      </c>
      <c r="F41" s="66" t="s">
        <v>19</v>
      </c>
    </row>
    <row r="42" spans="2:6" ht="12.75">
      <c r="B42" s="199">
        <v>100</v>
      </c>
      <c r="C42" s="194">
        <f>0.11*SQRT(1000*H$11/(B42))</f>
        <v>3.477938835549297</v>
      </c>
      <c r="D42" s="194">
        <f>0.11*SQRT(3000*H$11/(B42))</f>
        <v>6.023966768788321</v>
      </c>
      <c r="E42" s="193">
        <f>163*H$11/(H$12*B42)</f>
        <v>1.1242916421052631</v>
      </c>
      <c r="F42" s="136">
        <f>2000*SQRT(B42/(1000*H$11))</f>
        <v>63.25585652953375</v>
      </c>
    </row>
    <row r="43" spans="2:6" ht="12.75">
      <c r="B43" s="200">
        <v>150</v>
      </c>
      <c r="C43" s="194">
        <f>0.11*SQRT(1000*H$11/(B43))</f>
        <v>2.839725167901758</v>
      </c>
      <c r="D43" s="194">
        <f>0.11*SQRT(3000*H$11/(B43))</f>
        <v>4.918548270337905</v>
      </c>
      <c r="E43" s="193">
        <f>163*H$11/(H$12*B43)</f>
        <v>0.7495277614035086</v>
      </c>
      <c r="F43" s="136">
        <f aca="true" t="shared" si="0" ref="F43:F59">2000*SQRT(B43/(1000*H$11))</f>
        <v>77.47228587002861</v>
      </c>
    </row>
    <row r="44" spans="2:6" ht="12.75">
      <c r="B44" s="200">
        <v>200</v>
      </c>
      <c r="C44" s="194">
        <f>0.11*SQRT(1000*H$11/(B44))</f>
        <v>2.4592741351689527</v>
      </c>
      <c r="D44" s="194">
        <f>0.11*SQRT(3000*H$11/(B44))</f>
        <v>4.259587751852637</v>
      </c>
      <c r="E44" s="193">
        <f>163*H$11/(H$12*B44)</f>
        <v>0.5621458210526316</v>
      </c>
      <c r="F44" s="136">
        <f t="shared" si="0"/>
        <v>89.45729020359332</v>
      </c>
    </row>
    <row r="45" spans="2:6" ht="12.75">
      <c r="B45" s="202">
        <v>250</v>
      </c>
      <c r="C45" s="203">
        <f>0.11*SQRT(1000*H$11/(B45))</f>
        <v>2.199641656617914</v>
      </c>
      <c r="D45" s="203">
        <f>0.11*SQRT(3000*H$11/(B45))</f>
        <v>3.8098911077072004</v>
      </c>
      <c r="E45" s="204">
        <f>163*H$11/(H$12*B45)</f>
        <v>0.4497166568421052</v>
      </c>
      <c r="F45" s="205">
        <f t="shared" si="0"/>
        <v>100.01629098908035</v>
      </c>
    </row>
    <row r="46" spans="2:6" ht="12.75">
      <c r="B46" s="200">
        <v>300</v>
      </c>
      <c r="C46" s="194">
        <f>0.11*SQRT(1000*H$11/(B46))</f>
        <v>2.0079889229294405</v>
      </c>
      <c r="D46" s="194">
        <f>0.11*SQRT(3000*H$11/(B46))</f>
        <v>3.477938835549297</v>
      </c>
      <c r="E46" s="193">
        <f>163*H$11/(H$12*B46)</f>
        <v>0.3747638807017543</v>
      </c>
      <c r="F46" s="136">
        <f t="shared" si="0"/>
        <v>109.56235738543997</v>
      </c>
    </row>
    <row r="47" spans="2:6" ht="12.75">
      <c r="B47" s="200">
        <v>350</v>
      </c>
      <c r="C47" s="194">
        <f>0.11*SQRT(1000*H$11/(B47))</f>
        <v>1.8590365049687123</v>
      </c>
      <c r="D47" s="194">
        <f>0.11*SQRT(3000*H$11/(B47))</f>
        <v>3.2199456797310813</v>
      </c>
      <c r="E47" s="193">
        <f>163*H$11/(H$12*B47)</f>
        <v>0.32122618345864656</v>
      </c>
      <c r="F47" s="136">
        <f t="shared" si="0"/>
        <v>118.3408714202213</v>
      </c>
    </row>
    <row r="48" spans="2:6" ht="12.75">
      <c r="B48" s="199">
        <v>400</v>
      </c>
      <c r="C48" s="194">
        <f>0.11*SQRT(1000*H$11/(B48))</f>
        <v>1.7389694177746484</v>
      </c>
      <c r="D48" s="194">
        <f>0.11*SQRT(3000*H$11/(B48))</f>
        <v>3.0119833843941604</v>
      </c>
      <c r="E48" s="193">
        <f>163*H$11/(H$12*B48)</f>
        <v>0.2810729105263158</v>
      </c>
      <c r="F48" s="136">
        <f t="shared" si="0"/>
        <v>126.5117130590675</v>
      </c>
    </row>
    <row r="49" spans="2:6" ht="12.75">
      <c r="B49" s="200">
        <v>450</v>
      </c>
      <c r="C49" s="194">
        <f>0.11*SQRT(1000*H$11/(B49))</f>
        <v>1.639516090112635</v>
      </c>
      <c r="D49" s="194">
        <f>0.11*SQRT(3000*H$11/(B49))</f>
        <v>2.839725167901758</v>
      </c>
      <c r="E49" s="193">
        <f>163*H$11/(H$12*B49)</f>
        <v>0.2498425871345029</v>
      </c>
      <c r="F49" s="136">
        <f t="shared" si="0"/>
        <v>134.18593530539</v>
      </c>
    </row>
    <row r="50" spans="2:6" ht="12.75">
      <c r="B50" s="200">
        <v>500</v>
      </c>
      <c r="C50" s="194">
        <f>0.11*SQRT(1000*H$11/(B50))</f>
        <v>1.555381531574938</v>
      </c>
      <c r="D50" s="194">
        <f>0.11*SQRT(3000*H$11/(B50))</f>
        <v>2.6939998378420884</v>
      </c>
      <c r="E50" s="193">
        <f>163*H$11/(H$12*B50)</f>
        <v>0.2248583284210526</v>
      </c>
      <c r="F50" s="136">
        <f t="shared" si="0"/>
        <v>141.4443951750114</v>
      </c>
    </row>
    <row r="51" spans="2:6" ht="12.75">
      <c r="B51" s="199">
        <v>550</v>
      </c>
      <c r="C51" s="194">
        <f>0.11*SQRT(1000*H$11/(B51))</f>
        <v>1.4829981023602155</v>
      </c>
      <c r="D51" s="194">
        <f>0.11*SQRT(3000*H$11/(B51))</f>
        <v>2.5686280608161236</v>
      </c>
      <c r="E51" s="193">
        <f>163*H$11/(H$12*B51)</f>
        <v>0.20441666220095692</v>
      </c>
      <c r="F51" s="136">
        <f t="shared" si="0"/>
        <v>148.34813318362745</v>
      </c>
    </row>
    <row r="52" spans="2:6" ht="12.75">
      <c r="B52" s="200">
        <v>600</v>
      </c>
      <c r="C52" s="194">
        <f>0.11*SQRT(1000*H$11/(B52))</f>
        <v>1.419862583950879</v>
      </c>
      <c r="D52" s="194">
        <f>0.11*SQRT(3000*H$11/(B52))</f>
        <v>2.4592741351689527</v>
      </c>
      <c r="E52" s="193">
        <f>163*H$11/(H$12*B52)</f>
        <v>0.18738194035087716</v>
      </c>
      <c r="F52" s="136">
        <f t="shared" si="0"/>
        <v>154.94457174005723</v>
      </c>
    </row>
    <row r="53" spans="2:6" ht="12.75">
      <c r="B53" s="200">
        <v>650</v>
      </c>
      <c r="C53" s="194">
        <f>0.11*SQRT(1000*H$11/(B53))</f>
        <v>1.3641598453498485</v>
      </c>
      <c r="D53" s="194">
        <f>0.11*SQRT(3000*H$11/(B53))</f>
        <v>2.36279416179124</v>
      </c>
      <c r="E53" s="193">
        <f>163*H$11/(H$12*B53)</f>
        <v>0.17296794493927123</v>
      </c>
      <c r="F53" s="136">
        <f t="shared" si="0"/>
        <v>161.27142339655907</v>
      </c>
    </row>
    <row r="54" spans="2:6" ht="12.75">
      <c r="B54" s="199">
        <v>700</v>
      </c>
      <c r="C54" s="194">
        <f>0.11*SQRT(1000*H$11/(B54))</f>
        <v>1.3145373191367153</v>
      </c>
      <c r="D54" s="194">
        <f>0.11*SQRT(3000*H$11/(B54))</f>
        <v>2.276845425190175</v>
      </c>
      <c r="E54" s="193">
        <f>163*H$11/(H$12*B54)</f>
        <v>0.16061309172932328</v>
      </c>
      <c r="F54" s="136">
        <f t="shared" si="0"/>
        <v>167.35926534552755</v>
      </c>
    </row>
    <row r="55" spans="2:6" ht="12.75">
      <c r="B55" s="206">
        <v>750</v>
      </c>
      <c r="C55" s="203">
        <f>0.11*SQRT(1000*H$11/(B55))</f>
        <v>1.2699637025690669</v>
      </c>
      <c r="D55" s="203">
        <f>0.11*SQRT(3000*H$11/(B55))</f>
        <v>2.199641656617914</v>
      </c>
      <c r="E55" s="204">
        <f>163*H$11/(H$12*B55)</f>
        <v>0.14990555228070174</v>
      </c>
      <c r="F55" s="205">
        <f t="shared" si="0"/>
        <v>173.23329757768045</v>
      </c>
    </row>
    <row r="56" spans="2:6" ht="12.75">
      <c r="B56" s="200">
        <v>800</v>
      </c>
      <c r="C56" s="194">
        <f>0.11*SQRT(1000*H$11/(B56))</f>
        <v>1.2296370675844763</v>
      </c>
      <c r="D56" s="194">
        <f>0.11*SQRT(3000*H$11/(B56))</f>
        <v>2.1297938759263184</v>
      </c>
      <c r="E56" s="193">
        <f>163*H$11/(H$12*B56)</f>
        <v>0.1405364552631579</v>
      </c>
      <c r="F56" s="136">
        <f t="shared" si="0"/>
        <v>178.91458040718663</v>
      </c>
    </row>
    <row r="57" spans="2:6" ht="12.75">
      <c r="B57" s="199">
        <v>850</v>
      </c>
      <c r="C57" s="194">
        <f>0.11*SQRT(1000*H$11/(B57))</f>
        <v>1.1929231790177783</v>
      </c>
      <c r="D57" s="194">
        <f>0.11*SQRT(3000*H$11/(B57))</f>
        <v>2.0662035555853753</v>
      </c>
      <c r="E57" s="193">
        <f>163*H$11/(H$12*B57)</f>
        <v>0.13226960495356035</v>
      </c>
      <c r="F57" s="136">
        <f t="shared" si="0"/>
        <v>184.42092824547365</v>
      </c>
    </row>
    <row r="58" spans="2:6" ht="12.75">
      <c r="B58" s="200">
        <v>900</v>
      </c>
      <c r="C58" s="194">
        <f>0.11*SQRT(1000*H$11/(B58))</f>
        <v>1.159312945183099</v>
      </c>
      <c r="D58" s="194">
        <f>0.11*SQRT(3000*H$11/(B58))</f>
        <v>2.00798892292944</v>
      </c>
      <c r="E58" s="193">
        <f>163*H$11/(H$12*B58)</f>
        <v>0.12492129356725146</v>
      </c>
      <c r="F58" s="136">
        <f t="shared" si="0"/>
        <v>189.76756958860125</v>
      </c>
    </row>
    <row r="59" spans="2:6" ht="12.75">
      <c r="B59" s="200">
        <v>950</v>
      </c>
      <c r="C59" s="194">
        <f>0.11*SQRT(1000*H$11/(B59))</f>
        <v>1.1283923610173527</v>
      </c>
      <c r="D59" s="194">
        <f>0.11*SQRT(3000*H$11/(B59))</f>
        <v>1.954432900154658</v>
      </c>
      <c r="E59" s="193">
        <f>163*H$11/(H$12*B59)</f>
        <v>0.11834648864265927</v>
      </c>
      <c r="F59" s="136">
        <f t="shared" si="0"/>
        <v>194.9676438802272</v>
      </c>
    </row>
    <row r="60" spans="2:6" ht="12.75">
      <c r="B60" s="201"/>
      <c r="C60" s="17"/>
      <c r="D60" s="17"/>
      <c r="E60" s="17"/>
      <c r="F60" s="6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Rectangular room modes</dc:title>
  <dc:subject/>
  <dc:creator>Siegfried Linkwitz</dc:creator>
  <cp:keywords/>
  <dc:description/>
  <cp:lastModifiedBy>Siegfried Linkwitz</cp:lastModifiedBy>
  <dcterms:created xsi:type="dcterms:W3CDTF">2000-10-21T18:00:47Z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