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6495" activeTab="0"/>
  </bookViews>
  <sheets>
    <sheet name="phn-room2" sheetId="1" r:id="rId1"/>
  </sheets>
  <definedNames/>
  <calcPr fullCalcOnLoad="1"/>
</workbook>
</file>

<file path=xl/sharedStrings.xml><?xml version="1.0" encoding="utf-8"?>
<sst xmlns="http://schemas.openxmlformats.org/spreadsheetml/2006/main" count="234" uniqueCount="73">
  <si>
    <t>Enter new numbers only in cells which are in BOLD print</t>
  </si>
  <si>
    <t>3/24/00   LINKWITZ LAB</t>
  </si>
  <si>
    <t>Example filter</t>
  </si>
  <si>
    <t>Filter 1</t>
  </si>
  <si>
    <t>Filter 2</t>
  </si>
  <si>
    <t>Filter 3</t>
  </si>
  <si>
    <t>Wanted</t>
  </si>
  <si>
    <t>F0 =</t>
  </si>
  <si>
    <t>Hz</t>
  </si>
  <si>
    <t>dF =</t>
  </si>
  <si>
    <t>a =</t>
  </si>
  <si>
    <t>dB =&gt;</t>
  </si>
  <si>
    <t>a' =</t>
  </si>
  <si>
    <t>Synthesis</t>
  </si>
  <si>
    <t>Enter</t>
  </si>
  <si>
    <t>R0 =</t>
  </si>
  <si>
    <t>ohm</t>
  </si>
  <si>
    <t>R8 =</t>
  </si>
  <si>
    <t>C3 =</t>
  </si>
  <si>
    <t>F</t>
  </si>
  <si>
    <t>C13,14,15 =</t>
  </si>
  <si>
    <t>C16,17,18 =</t>
  </si>
  <si>
    <t>C21,22,23 =</t>
  </si>
  <si>
    <t>R3 =</t>
  </si>
  <si>
    <t>X3 =</t>
  </si>
  <si>
    <t>j ohm</t>
  </si>
  <si>
    <t>Calculation</t>
  </si>
  <si>
    <t>R =</t>
  </si>
  <si>
    <t>#1</t>
  </si>
  <si>
    <t>L =</t>
  </si>
  <si>
    <t>H</t>
  </si>
  <si>
    <t>C =</t>
  </si>
  <si>
    <t>R1,2 =</t>
  </si>
  <si>
    <t>R13,14 =</t>
  </si>
  <si>
    <t>R17,18 =</t>
  </si>
  <si>
    <t>R19,20 =</t>
  </si>
  <si>
    <t>R3' =</t>
  </si>
  <si>
    <t>R4 =</t>
  </si>
  <si>
    <t>R15 =</t>
  </si>
  <si>
    <t>R16 =</t>
  </si>
  <si>
    <t>R21 =</t>
  </si>
  <si>
    <t>Analysis</t>
  </si>
  <si>
    <t>Select</t>
  </si>
  <si>
    <t>R1 =</t>
  </si>
  <si>
    <t>R13 =</t>
  </si>
  <si>
    <t>R17 =</t>
  </si>
  <si>
    <t>R19 =</t>
  </si>
  <si>
    <t>based on</t>
  </si>
  <si>
    <t>R2 =</t>
  </si>
  <si>
    <t>R14 =</t>
  </si>
  <si>
    <t>R18 =</t>
  </si>
  <si>
    <t>R20 =</t>
  </si>
  <si>
    <t>calculation</t>
  </si>
  <si>
    <t>C12 =</t>
  </si>
  <si>
    <t>C19 =</t>
  </si>
  <si>
    <t>C20 =</t>
  </si>
  <si>
    <t>#2</t>
  </si>
  <si>
    <t>dB</t>
  </si>
  <si>
    <t>Equivalent</t>
  </si>
  <si>
    <t>k</t>
  </si>
  <si>
    <t>resonant</t>
  </si>
  <si>
    <t>circuit</t>
  </si>
  <si>
    <t>nF</t>
  </si>
  <si>
    <t>Q =</t>
  </si>
  <si>
    <t>T60 =</t>
  </si>
  <si>
    <t>ms</t>
  </si>
  <si>
    <t>Room EQ with notch filters on PHOENIX pcb</t>
  </si>
  <si>
    <t>12/16/09 SL</t>
  </si>
  <si>
    <t>Each WM1 pcb has two Inductor 2 circuits.</t>
  </si>
  <si>
    <t xml:space="preserve">A corresponding spreadsheet could be designed for </t>
  </si>
  <si>
    <t>Notch filters from spreadsheet for obsolete Phoenix pcb:</t>
  </si>
  <si>
    <t>Inductor 2 as available on ORION (U10A)</t>
  </si>
  <si>
    <t>and THOR (U3A, U3B) printed circuits.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</si>
</sst>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1" fontId="1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 horizontal="left"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10</xdr:col>
      <xdr:colOff>590550</xdr:colOff>
      <xdr:row>63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381750"/>
          <a:ext cx="49339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72</xdr:row>
      <xdr:rowOff>38100</xdr:rowOff>
    </xdr:from>
    <xdr:to>
      <xdr:col>15</xdr:col>
      <xdr:colOff>361950</xdr:colOff>
      <xdr:row>107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096750"/>
          <a:ext cx="786765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62</xdr:row>
      <xdr:rowOff>38100</xdr:rowOff>
    </xdr:from>
    <xdr:to>
      <xdr:col>15</xdr:col>
      <xdr:colOff>219075</xdr:colOff>
      <xdr:row>71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0144125"/>
          <a:ext cx="2743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zoomScale="85" zoomScaleNormal="85" workbookViewId="0" topLeftCell="A49">
      <selection activeCell="T65" sqref="T64:T65"/>
    </sheetView>
  </sheetViews>
  <sheetFormatPr defaultColWidth="9.140625" defaultRowHeight="12.75"/>
  <cols>
    <col min="1" max="1" width="9.8515625" style="16" customWidth="1"/>
    <col min="2" max="2" width="7.421875" style="16" customWidth="1"/>
    <col min="4" max="4" width="5.8515625" style="16" customWidth="1"/>
    <col min="5" max="5" width="3.421875" style="0" customWidth="1"/>
    <col min="6" max="6" width="10.7109375" style="16" customWidth="1"/>
    <col min="7" max="7" width="8.7109375" style="0" customWidth="1"/>
    <col min="8" max="8" width="5.7109375" style="16" customWidth="1"/>
    <col min="9" max="9" width="3.421875" style="0" customWidth="1"/>
    <col min="10" max="10" width="10.7109375" style="16" customWidth="1"/>
    <col min="12" max="12" width="5.7109375" style="16" customWidth="1"/>
    <col min="13" max="13" width="3.421875" style="0" customWidth="1"/>
    <col min="14" max="14" width="10.7109375" style="16" customWidth="1"/>
    <col min="16" max="16" width="5.7109375" style="16" customWidth="1"/>
  </cols>
  <sheetData>
    <row r="1" spans="1:14" ht="18">
      <c r="A1" s="36" t="s">
        <v>66</v>
      </c>
      <c r="N1" s="34" t="s">
        <v>67</v>
      </c>
    </row>
    <row r="2" spans="1:14" ht="12.75">
      <c r="A2" s="35" t="s">
        <v>0</v>
      </c>
      <c r="N2" s="34" t="s">
        <v>1</v>
      </c>
    </row>
    <row r="4" spans="2:14" ht="12.75">
      <c r="B4" s="13" t="s">
        <v>2</v>
      </c>
      <c r="F4" s="13" t="s">
        <v>3</v>
      </c>
      <c r="J4" s="13" t="s">
        <v>4</v>
      </c>
      <c r="N4" s="13" t="s">
        <v>5</v>
      </c>
    </row>
    <row r="5" spans="1:16" ht="12.75">
      <c r="A5" s="14" t="s">
        <v>6</v>
      </c>
      <c r="B5" s="26" t="s">
        <v>7</v>
      </c>
      <c r="C5" s="1">
        <v>20.2</v>
      </c>
      <c r="D5" s="28" t="s">
        <v>8</v>
      </c>
      <c r="E5" s="3"/>
      <c r="F5" s="26" t="s">
        <v>7</v>
      </c>
      <c r="G5" s="1">
        <v>20.2</v>
      </c>
      <c r="H5" s="28" t="s">
        <v>8</v>
      </c>
      <c r="I5" s="3"/>
      <c r="J5" s="26" t="s">
        <v>7</v>
      </c>
      <c r="K5" s="1">
        <v>38</v>
      </c>
      <c r="L5" s="28" t="s">
        <v>8</v>
      </c>
      <c r="M5" s="3"/>
      <c r="N5" s="26" t="s">
        <v>7</v>
      </c>
      <c r="O5" s="1">
        <v>96</v>
      </c>
      <c r="P5" s="28" t="s">
        <v>8</v>
      </c>
    </row>
    <row r="6" spans="1:16" ht="12.75">
      <c r="A6" s="14"/>
      <c r="B6" s="12" t="s">
        <v>9</v>
      </c>
      <c r="C6" s="2">
        <v>2.5</v>
      </c>
      <c r="D6" s="15" t="s">
        <v>8</v>
      </c>
      <c r="E6" s="3"/>
      <c r="F6" s="12" t="s">
        <v>9</v>
      </c>
      <c r="G6" s="2">
        <v>2.5</v>
      </c>
      <c r="H6" s="15" t="s">
        <v>8</v>
      </c>
      <c r="I6" s="3"/>
      <c r="J6" s="12" t="s">
        <v>9</v>
      </c>
      <c r="K6" s="2">
        <v>3</v>
      </c>
      <c r="L6" s="15" t="s">
        <v>8</v>
      </c>
      <c r="M6" s="3"/>
      <c r="N6" s="12" t="s">
        <v>9</v>
      </c>
      <c r="O6" s="2">
        <v>5</v>
      </c>
      <c r="P6" s="15" t="s">
        <v>8</v>
      </c>
    </row>
    <row r="7" spans="1:16" ht="12.75">
      <c r="A7" s="14"/>
      <c r="B7" s="31" t="s">
        <v>10</v>
      </c>
      <c r="C7" s="9">
        <v>-9</v>
      </c>
      <c r="D7" s="32" t="s">
        <v>11</v>
      </c>
      <c r="E7" s="3"/>
      <c r="F7" s="31" t="s">
        <v>10</v>
      </c>
      <c r="G7" s="9">
        <v>-9</v>
      </c>
      <c r="H7" s="32" t="s">
        <v>11</v>
      </c>
      <c r="I7" s="3"/>
      <c r="J7" s="31" t="s">
        <v>10</v>
      </c>
      <c r="K7" s="9">
        <v>-12</v>
      </c>
      <c r="L7" s="32" t="s">
        <v>11</v>
      </c>
      <c r="M7" s="3"/>
      <c r="N7" s="31" t="s">
        <v>10</v>
      </c>
      <c r="O7" s="9">
        <v>-3</v>
      </c>
      <c r="P7" s="32" t="s">
        <v>11</v>
      </c>
    </row>
    <row r="8" spans="1:16" ht="12.75">
      <c r="A8" s="14"/>
      <c r="B8" s="31"/>
      <c r="C8" s="19" t="s">
        <v>12</v>
      </c>
      <c r="D8" s="33">
        <f>10^(C7/20)</f>
        <v>0.3548133892335754</v>
      </c>
      <c r="F8" s="31"/>
      <c r="G8" s="19" t="s">
        <v>12</v>
      </c>
      <c r="H8" s="33">
        <f>10^(G7/20)</f>
        <v>0.3548133892335754</v>
      </c>
      <c r="J8" s="31"/>
      <c r="K8" s="19" t="s">
        <v>12</v>
      </c>
      <c r="L8" s="33">
        <f>10^(K7/20)</f>
        <v>0.251188643150958</v>
      </c>
      <c r="N8" s="31"/>
      <c r="O8" s="19" t="s">
        <v>12</v>
      </c>
      <c r="P8" s="33">
        <f>10^(O7/20)</f>
        <v>0.7079457843841379</v>
      </c>
    </row>
    <row r="9" spans="1:14" ht="12.75">
      <c r="A9" s="14"/>
      <c r="B9" s="14"/>
      <c r="F9" s="14"/>
      <c r="J9" s="14"/>
      <c r="N9" s="14"/>
    </row>
    <row r="10" spans="1:14" s="16" customFormat="1" ht="12.75">
      <c r="A10" s="14"/>
      <c r="B10" s="30" t="s">
        <v>13</v>
      </c>
      <c r="F10" s="20" t="s">
        <v>13</v>
      </c>
      <c r="J10" s="20" t="s">
        <v>13</v>
      </c>
      <c r="N10" s="20" t="s">
        <v>13</v>
      </c>
    </row>
    <row r="11" spans="1:16" s="3" customFormat="1" ht="12.75">
      <c r="A11" s="22" t="s">
        <v>14</v>
      </c>
      <c r="B11" s="26" t="s">
        <v>15</v>
      </c>
      <c r="C11" s="24">
        <v>5110</v>
      </c>
      <c r="D11" s="28" t="s">
        <v>16</v>
      </c>
      <c r="F11" s="26" t="s">
        <v>17</v>
      </c>
      <c r="G11" s="27">
        <v>5110</v>
      </c>
      <c r="H11" s="28" t="s">
        <v>16</v>
      </c>
      <c r="J11" s="26" t="s">
        <v>17</v>
      </c>
      <c r="K11" s="27">
        <v>5110</v>
      </c>
      <c r="L11" s="28" t="s">
        <v>16</v>
      </c>
      <c r="N11" s="26" t="s">
        <v>17</v>
      </c>
      <c r="O11" s="27">
        <v>5110</v>
      </c>
      <c r="P11" s="28" t="s">
        <v>16</v>
      </c>
    </row>
    <row r="12" spans="1:16" s="3" customFormat="1" ht="12.75">
      <c r="A12" s="22"/>
      <c r="B12" s="12" t="s">
        <v>18</v>
      </c>
      <c r="C12" s="10">
        <v>0.000165</v>
      </c>
      <c r="D12" s="15" t="s">
        <v>19</v>
      </c>
      <c r="F12" s="12" t="s">
        <v>20</v>
      </c>
      <c r="G12" s="10">
        <v>0.000165</v>
      </c>
      <c r="H12" s="15" t="s">
        <v>19</v>
      </c>
      <c r="J12" s="12" t="s">
        <v>21</v>
      </c>
      <c r="K12" s="10">
        <v>0.000165</v>
      </c>
      <c r="L12" s="15" t="s">
        <v>19</v>
      </c>
      <c r="N12" s="12" t="s">
        <v>22</v>
      </c>
      <c r="O12" s="10">
        <v>0.00011</v>
      </c>
      <c r="P12" s="15" t="s">
        <v>19</v>
      </c>
    </row>
    <row r="13" spans="1:16" s="3" customFormat="1" ht="12.75">
      <c r="A13" s="22"/>
      <c r="B13" s="31" t="s">
        <v>23</v>
      </c>
      <c r="C13" s="25">
        <v>1</v>
      </c>
      <c r="D13" s="32" t="s">
        <v>16</v>
      </c>
      <c r="F13" s="31" t="s">
        <v>23</v>
      </c>
      <c r="G13" s="25">
        <v>1</v>
      </c>
      <c r="H13" s="32" t="s">
        <v>16</v>
      </c>
      <c r="J13" s="31" t="s">
        <v>23</v>
      </c>
      <c r="K13" s="25">
        <v>1</v>
      </c>
      <c r="L13" s="32" t="s">
        <v>16</v>
      </c>
      <c r="N13" s="31" t="s">
        <v>23</v>
      </c>
      <c r="O13" s="25">
        <v>0.5</v>
      </c>
      <c r="P13" s="32" t="s">
        <v>16</v>
      </c>
    </row>
    <row r="14" spans="1:16" ht="12.75">
      <c r="A14" s="21"/>
      <c r="B14" s="12" t="s">
        <v>24</v>
      </c>
      <c r="C14" s="17">
        <f>1/(2*PI()*C5*C12)</f>
        <v>47.751258053373945</v>
      </c>
      <c r="D14" s="15" t="s">
        <v>25</v>
      </c>
      <c r="F14" s="12" t="s">
        <v>24</v>
      </c>
      <c r="G14" s="17">
        <f>1/(2*PI()*G5*G12)</f>
        <v>47.751258053373945</v>
      </c>
      <c r="H14" s="15" t="s">
        <v>25</v>
      </c>
      <c r="J14" s="12" t="s">
        <v>24</v>
      </c>
      <c r="K14" s="17">
        <f>1/(2*PI()*K5*K12)</f>
        <v>25.38356349153036</v>
      </c>
      <c r="L14" s="15" t="s">
        <v>25</v>
      </c>
      <c r="N14" s="12" t="s">
        <v>24</v>
      </c>
      <c r="O14" s="17">
        <f>1/(2*PI()*O5*O12)</f>
        <v>15.07149082309615</v>
      </c>
      <c r="P14" s="15" t="s">
        <v>25</v>
      </c>
    </row>
    <row r="15" spans="1:16" ht="12.75">
      <c r="A15" s="14"/>
      <c r="B15" s="12"/>
      <c r="C15" s="11"/>
      <c r="D15" s="15"/>
      <c r="F15" s="12"/>
      <c r="G15" s="11"/>
      <c r="H15" s="15"/>
      <c r="J15" s="12"/>
      <c r="K15" s="11"/>
      <c r="L15" s="15"/>
      <c r="N15" s="12"/>
      <c r="O15" s="11"/>
      <c r="P15" s="15"/>
    </row>
    <row r="16" spans="1:16" s="16" customFormat="1" ht="12.75">
      <c r="A16" s="14" t="s">
        <v>26</v>
      </c>
      <c r="B16" s="12" t="s">
        <v>27</v>
      </c>
      <c r="C16" s="17">
        <f>C11*D8/(1-D8)</f>
        <v>2810.189158807515</v>
      </c>
      <c r="D16" s="15" t="s">
        <v>16</v>
      </c>
      <c r="F16" s="12" t="s">
        <v>27</v>
      </c>
      <c r="G16" s="17">
        <f>G11*H8/(1-H8)</f>
        <v>2810.189158807515</v>
      </c>
      <c r="H16" s="15" t="s">
        <v>16</v>
      </c>
      <c r="J16" s="12" t="s">
        <v>27</v>
      </c>
      <c r="K16" s="17">
        <f>K11*L8/(1-L8)</f>
        <v>1714.1486367175385</v>
      </c>
      <c r="L16" s="15" t="s">
        <v>16</v>
      </c>
      <c r="N16" s="12" t="s">
        <v>27</v>
      </c>
      <c r="O16" s="17">
        <f>O11*P8/(1-P8)</f>
        <v>12386.751379617699</v>
      </c>
      <c r="P16" s="15" t="s">
        <v>16</v>
      </c>
    </row>
    <row r="17" spans="1:17" s="16" customFormat="1" ht="12.75">
      <c r="A17" s="14" t="s">
        <v>28</v>
      </c>
      <c r="B17" s="12" t="s">
        <v>29</v>
      </c>
      <c r="C17" s="17">
        <f>C16/(2*PI()*C6)</f>
        <v>178.9021982589885</v>
      </c>
      <c r="D17" s="15" t="s">
        <v>30</v>
      </c>
      <c r="F17" s="12" t="s">
        <v>29</v>
      </c>
      <c r="G17" s="17">
        <f>G16/(2*PI()*G6)</f>
        <v>178.9021982589885</v>
      </c>
      <c r="H17" s="15" t="s">
        <v>30</v>
      </c>
      <c r="J17" s="12" t="s">
        <v>29</v>
      </c>
      <c r="K17" s="17">
        <f>K16/(2*PI()*K6)</f>
        <v>90.93840957594327</v>
      </c>
      <c r="L17" s="15" t="s">
        <v>30</v>
      </c>
      <c r="N17" s="12" t="s">
        <v>29</v>
      </c>
      <c r="O17" s="17">
        <f>O16/(2*PI()*O6)</f>
        <v>394.2825421833022</v>
      </c>
      <c r="P17" s="15" t="s">
        <v>30</v>
      </c>
      <c r="Q17" s="20"/>
    </row>
    <row r="18" spans="1:16" s="16" customFormat="1" ht="12.75">
      <c r="A18" s="14"/>
      <c r="B18" s="12" t="s">
        <v>31</v>
      </c>
      <c r="C18" s="18">
        <f>1/(((2*PI()*C5)^2)*C17)</f>
        <v>3.4699390579185684E-07</v>
      </c>
      <c r="D18" s="15" t="s">
        <v>19</v>
      </c>
      <c r="F18" s="12" t="s">
        <v>31</v>
      </c>
      <c r="G18" s="18">
        <f>1/(((2*PI()*G5)^2)*G17)</f>
        <v>3.4699390579185684E-07</v>
      </c>
      <c r="H18" s="15" t="s">
        <v>19</v>
      </c>
      <c r="J18" s="12" t="s">
        <v>31</v>
      </c>
      <c r="K18" s="18">
        <f>1/(((2*PI()*K5)^2)*K17)</f>
        <v>1.928971075320557E-07</v>
      </c>
      <c r="L18" s="15" t="s">
        <v>19</v>
      </c>
      <c r="N18" s="12" t="s">
        <v>31</v>
      </c>
      <c r="O18" s="18">
        <f>1/(((2*PI()*O5)^2)*O17)</f>
        <v>6.97092241495526E-09</v>
      </c>
      <c r="P18" s="15" t="s">
        <v>19</v>
      </c>
    </row>
    <row r="19" spans="2:16" ht="12.75">
      <c r="B19" s="12" t="s">
        <v>32</v>
      </c>
      <c r="C19" s="4">
        <f>SQRT(C16/(2*PI()*C6*C12))</f>
        <v>1041.2760186541188</v>
      </c>
      <c r="D19" s="15" t="s">
        <v>16</v>
      </c>
      <c r="F19" s="12" t="s">
        <v>33</v>
      </c>
      <c r="G19" s="4">
        <f>SQRT(G16/(2*PI()*G6*G12))</f>
        <v>1041.2760186541188</v>
      </c>
      <c r="H19" s="15" t="s">
        <v>16</v>
      </c>
      <c r="J19" s="12" t="s">
        <v>34</v>
      </c>
      <c r="K19" s="4">
        <f>SQRT(K16/(2*PI()*K6*K12))</f>
        <v>742.3893023325686</v>
      </c>
      <c r="L19" s="15" t="s">
        <v>16</v>
      </c>
      <c r="N19" s="12" t="s">
        <v>35</v>
      </c>
      <c r="O19" s="4">
        <f>SQRT(O16/(2*PI()*O6*O12))</f>
        <v>1893.2476718910627</v>
      </c>
      <c r="P19" s="15" t="s">
        <v>16</v>
      </c>
    </row>
    <row r="20" spans="1:16" ht="12.75">
      <c r="A20" s="14"/>
      <c r="B20" s="12" t="s">
        <v>36</v>
      </c>
      <c r="C20" s="4">
        <f>C13*(C19*2*PI()*C5*C12)^2</f>
        <v>475.5126739861961</v>
      </c>
      <c r="D20" s="15" t="s">
        <v>16</v>
      </c>
      <c r="F20" s="12" t="s">
        <v>36</v>
      </c>
      <c r="G20" s="4">
        <f>G13*(G19*2*PI()*G5*G12)^2</f>
        <v>475.5126739861961</v>
      </c>
      <c r="H20" s="15" t="s">
        <v>16</v>
      </c>
      <c r="J20" s="12" t="s">
        <v>36</v>
      </c>
      <c r="K20" s="4">
        <f>K13*(K19*2*PI()*K5*K12)^2</f>
        <v>855.3783004370879</v>
      </c>
      <c r="L20" s="15" t="s">
        <v>16</v>
      </c>
      <c r="N20" s="12" t="s">
        <v>36</v>
      </c>
      <c r="O20" s="4">
        <f>O13*(O19*2*PI()*O5*O12)^2</f>
        <v>7889.91710508845</v>
      </c>
      <c r="P20" s="15" t="s">
        <v>16</v>
      </c>
    </row>
    <row r="21" spans="1:16" ht="12.75">
      <c r="A21" s="14"/>
      <c r="B21" s="31" t="s">
        <v>37</v>
      </c>
      <c r="C21" s="5">
        <f>C16-(2*C19+((2*PI()*C5*C12)^2)*C19*C19*C13)</f>
        <v>252.12444751308158</v>
      </c>
      <c r="D21" s="32" t="s">
        <v>16</v>
      </c>
      <c r="F21" s="31" t="s">
        <v>38</v>
      </c>
      <c r="G21" s="5">
        <f>G16-(2*G19+((2*PI()*G5*G12)^2)*G19*G19*G13)</f>
        <v>252.12444751308158</v>
      </c>
      <c r="H21" s="32" t="s">
        <v>16</v>
      </c>
      <c r="J21" s="31" t="s">
        <v>39</v>
      </c>
      <c r="K21" s="5">
        <f>K16-(2*K19+((2*PI()*K5*K12)^2)*K19*K19*K13)</f>
        <v>-626.0082683846867</v>
      </c>
      <c r="L21" s="32" t="s">
        <v>16</v>
      </c>
      <c r="N21" s="31" t="s">
        <v>40</v>
      </c>
      <c r="O21" s="5">
        <f>O16-(2*O19+((2*PI()*O5*O12)^2)*O19*O19*O13)</f>
        <v>710.3389307471225</v>
      </c>
      <c r="P21" s="32" t="s">
        <v>16</v>
      </c>
    </row>
    <row r="22" spans="1:14" ht="12.75">
      <c r="A22" s="14"/>
      <c r="B22" s="14"/>
      <c r="F22" s="14"/>
      <c r="J22" s="14"/>
      <c r="N22" s="14"/>
    </row>
    <row r="23" spans="1:14" s="16" customFormat="1" ht="12.75">
      <c r="A23" s="14"/>
      <c r="B23" s="30" t="s">
        <v>41</v>
      </c>
      <c r="F23" s="20" t="s">
        <v>41</v>
      </c>
      <c r="J23" s="20" t="s">
        <v>41</v>
      </c>
      <c r="N23" s="20" t="s">
        <v>41</v>
      </c>
    </row>
    <row r="24" spans="1:16" ht="12.75">
      <c r="A24" s="14" t="s">
        <v>42</v>
      </c>
      <c r="B24" s="26" t="s">
        <v>43</v>
      </c>
      <c r="C24" s="1">
        <v>909</v>
      </c>
      <c r="D24" s="28" t="s">
        <v>16</v>
      </c>
      <c r="F24" s="26" t="s">
        <v>44</v>
      </c>
      <c r="G24" s="1">
        <v>1100</v>
      </c>
      <c r="H24" s="28" t="s">
        <v>16</v>
      </c>
      <c r="J24" s="26" t="s">
        <v>45</v>
      </c>
      <c r="K24" s="1">
        <v>681</v>
      </c>
      <c r="L24" s="28" t="s">
        <v>16</v>
      </c>
      <c r="N24" s="26" t="s">
        <v>46</v>
      </c>
      <c r="O24" s="1">
        <v>1780</v>
      </c>
      <c r="P24" s="28" t="s">
        <v>16</v>
      </c>
    </row>
    <row r="25" spans="1:16" ht="12.75">
      <c r="A25" s="14" t="s">
        <v>47</v>
      </c>
      <c r="B25" s="12" t="s">
        <v>48</v>
      </c>
      <c r="C25" s="2">
        <v>1000</v>
      </c>
      <c r="D25" s="15" t="s">
        <v>16</v>
      </c>
      <c r="F25" s="12" t="s">
        <v>49</v>
      </c>
      <c r="G25" s="2">
        <v>1000</v>
      </c>
      <c r="H25" s="15" t="s">
        <v>16</v>
      </c>
      <c r="J25" s="12" t="s">
        <v>50</v>
      </c>
      <c r="K25" s="2">
        <v>619</v>
      </c>
      <c r="L25" s="15" t="s">
        <v>16</v>
      </c>
      <c r="N25" s="12" t="s">
        <v>51</v>
      </c>
      <c r="O25" s="2">
        <v>1620</v>
      </c>
      <c r="P25" s="15" t="s">
        <v>16</v>
      </c>
    </row>
    <row r="26" spans="1:16" ht="12.75">
      <c r="A26" s="14" t="s">
        <v>52</v>
      </c>
      <c r="B26" s="12" t="s">
        <v>37</v>
      </c>
      <c r="C26" s="2">
        <v>248</v>
      </c>
      <c r="D26" s="15" t="s">
        <v>16</v>
      </c>
      <c r="F26" s="12" t="s">
        <v>38</v>
      </c>
      <c r="G26" s="2">
        <v>10</v>
      </c>
      <c r="H26" s="15" t="s">
        <v>16</v>
      </c>
      <c r="J26" s="12" t="s">
        <v>39</v>
      </c>
      <c r="K26" s="2">
        <v>10</v>
      </c>
      <c r="L26" s="15" t="s">
        <v>16</v>
      </c>
      <c r="N26" s="12" t="s">
        <v>40</v>
      </c>
      <c r="O26" s="2">
        <v>10</v>
      </c>
      <c r="P26" s="15" t="s">
        <v>16</v>
      </c>
    </row>
    <row r="27" spans="1:16" ht="12.75">
      <c r="A27" s="14" t="s">
        <v>28</v>
      </c>
      <c r="B27" s="31" t="s">
        <v>31</v>
      </c>
      <c r="C27" s="6">
        <v>3.9E-07</v>
      </c>
      <c r="D27" s="32" t="s">
        <v>19</v>
      </c>
      <c r="F27" s="31" t="s">
        <v>53</v>
      </c>
      <c r="G27" s="6">
        <v>3.9E-07</v>
      </c>
      <c r="H27" s="32" t="s">
        <v>19</v>
      </c>
      <c r="J27" s="31" t="s">
        <v>54</v>
      </c>
      <c r="K27" s="6">
        <v>2.7E-07</v>
      </c>
      <c r="L27" s="32" t="s">
        <v>19</v>
      </c>
      <c r="N27" s="31" t="s">
        <v>55</v>
      </c>
      <c r="O27" s="6">
        <v>1E-08</v>
      </c>
      <c r="P27" s="32" t="s">
        <v>19</v>
      </c>
    </row>
    <row r="28" spans="1:16" ht="12.75">
      <c r="A28" s="14"/>
      <c r="B28" s="26"/>
      <c r="C28" s="8"/>
      <c r="D28" s="28"/>
      <c r="F28" s="26"/>
      <c r="G28" s="8"/>
      <c r="H28" s="28"/>
      <c r="J28" s="26"/>
      <c r="K28" s="8"/>
      <c r="L28" s="28"/>
      <c r="N28" s="26"/>
      <c r="O28" s="8"/>
      <c r="P28" s="28"/>
    </row>
    <row r="29" spans="1:16" ht="12.75">
      <c r="A29" s="14" t="s">
        <v>26</v>
      </c>
      <c r="B29" s="12" t="s">
        <v>7</v>
      </c>
      <c r="C29" s="7">
        <f>1/(2*PI()*SQRT(C27*C34))</f>
        <v>20.80960872466297</v>
      </c>
      <c r="D29" s="15" t="s">
        <v>8</v>
      </c>
      <c r="F29" s="12" t="s">
        <v>7</v>
      </c>
      <c r="G29" s="7">
        <f>1/(2*PI()*SQRT(G27*G34))</f>
        <v>18.91688019837584</v>
      </c>
      <c r="H29" s="15" t="s">
        <v>8</v>
      </c>
      <c r="J29" s="12" t="s">
        <v>7</v>
      </c>
      <c r="K29" s="7">
        <f>1/(2*PI()*SQRT(K27*K34))</f>
        <v>36.7263185657347</v>
      </c>
      <c r="L29" s="15" t="s">
        <v>8</v>
      </c>
      <c r="N29" s="12" t="s">
        <v>7</v>
      </c>
      <c r="O29" s="7">
        <f>1/(2*PI()*SQRT(O27*O34))</f>
        <v>89.36269970785233</v>
      </c>
      <c r="P29" s="15" t="s">
        <v>8</v>
      </c>
    </row>
    <row r="30" spans="1:16" ht="12.75">
      <c r="A30" s="14" t="s">
        <v>56</v>
      </c>
      <c r="B30" s="12" t="s">
        <v>9</v>
      </c>
      <c r="C30" s="7">
        <f>C33*1000/(2*PI()*C34)</f>
        <v>2.7934620449842735</v>
      </c>
      <c r="D30" s="15" t="s">
        <v>8</v>
      </c>
      <c r="F30" s="12" t="s">
        <v>9</v>
      </c>
      <c r="G30" s="7">
        <f>G33*1000/(2*PI()*G34)</f>
        <v>2.267201776813483</v>
      </c>
      <c r="H30" s="15" t="s">
        <v>8</v>
      </c>
      <c r="J30" s="12" t="s">
        <v>9</v>
      </c>
      <c r="K30" s="7">
        <f>K33*1000/(2*PI()*K34)</f>
        <v>4.9548693424533035</v>
      </c>
      <c r="L30" s="15" t="s">
        <v>8</v>
      </c>
      <c r="N30" s="12" t="s">
        <v>9</v>
      </c>
      <c r="O30" s="7">
        <f>O33*1000/(2*PI()*O34)</f>
        <v>5.669799315891395</v>
      </c>
      <c r="P30" s="15" t="s">
        <v>8</v>
      </c>
    </row>
    <row r="31" spans="2:16" ht="12.75">
      <c r="B31" s="12" t="s">
        <v>10</v>
      </c>
      <c r="C31" s="4">
        <f>20*LOG(C33/(C33+C11/1000))</f>
        <v>-9.37022908416573</v>
      </c>
      <c r="D31" s="15" t="s">
        <v>57</v>
      </c>
      <c r="F31" s="12" t="s">
        <v>10</v>
      </c>
      <c r="G31" s="4">
        <f>20*LOG(G33/(G33+G11/1000))</f>
        <v>-9.473817735552215</v>
      </c>
      <c r="H31" s="15" t="s">
        <v>57</v>
      </c>
      <c r="J31" s="12" t="s">
        <v>10</v>
      </c>
      <c r="K31" s="4">
        <f>20*LOG(K33/(K33+K11/1000))</f>
        <v>-10.526436001431215</v>
      </c>
      <c r="L31" s="15" t="s">
        <v>57</v>
      </c>
      <c r="N31" s="12" t="s">
        <v>10</v>
      </c>
      <c r="O31" s="4">
        <f>20*LOG(O33/(O33+O11/1000))</f>
        <v>-3.240622593087346</v>
      </c>
      <c r="P31" s="15" t="s">
        <v>57</v>
      </c>
    </row>
    <row r="32" spans="2:16" ht="12.75">
      <c r="B32" s="12"/>
      <c r="C32" s="4"/>
      <c r="D32" s="15"/>
      <c r="F32" s="12"/>
      <c r="G32" s="4"/>
      <c r="H32" s="15"/>
      <c r="J32" s="12"/>
      <c r="K32" s="4"/>
      <c r="L32" s="15"/>
      <c r="N32" s="12"/>
      <c r="O32" s="4"/>
      <c r="P32" s="15"/>
    </row>
    <row r="33" spans="1:16" ht="12.75">
      <c r="A33" s="14" t="s">
        <v>58</v>
      </c>
      <c r="B33" s="26" t="s">
        <v>27</v>
      </c>
      <c r="C33" s="29">
        <f>(C24+C25+C20+C26)/1000</f>
        <v>2.6325126739861964</v>
      </c>
      <c r="D33" s="28" t="s">
        <v>59</v>
      </c>
      <c r="F33" s="26" t="s">
        <v>27</v>
      </c>
      <c r="G33" s="29">
        <f>(G24+G25+G20+G26)/1000</f>
        <v>2.585512673986196</v>
      </c>
      <c r="H33" s="28" t="s">
        <v>59</v>
      </c>
      <c r="I33" s="3"/>
      <c r="J33" s="26" t="s">
        <v>27</v>
      </c>
      <c r="K33" s="29">
        <f>(K24+K25+K20+K26)/1000</f>
        <v>2.165378300437088</v>
      </c>
      <c r="L33" s="28" t="s">
        <v>59</v>
      </c>
      <c r="N33" s="26" t="s">
        <v>27</v>
      </c>
      <c r="O33" s="29">
        <f>(O24+O25+O20+O26)/1000</f>
        <v>11.29991710508845</v>
      </c>
      <c r="P33" s="28" t="s">
        <v>59</v>
      </c>
    </row>
    <row r="34" spans="1:16" ht="12.75">
      <c r="A34" s="14" t="s">
        <v>60</v>
      </c>
      <c r="B34" s="12" t="s">
        <v>29</v>
      </c>
      <c r="C34" s="4">
        <f>C12*C24*C25</f>
        <v>149.985</v>
      </c>
      <c r="D34" s="15" t="s">
        <v>30</v>
      </c>
      <c r="F34" s="12" t="s">
        <v>29</v>
      </c>
      <c r="G34" s="4">
        <f>G12*G24*G25</f>
        <v>181.5</v>
      </c>
      <c r="H34" s="15" t="s">
        <v>30</v>
      </c>
      <c r="J34" s="12" t="s">
        <v>29</v>
      </c>
      <c r="K34" s="4">
        <f>K12*K24*K25</f>
        <v>69.553935</v>
      </c>
      <c r="L34" s="15" t="s">
        <v>30</v>
      </c>
      <c r="N34" s="12" t="s">
        <v>29</v>
      </c>
      <c r="O34" s="4">
        <f>O12*O24*O25</f>
        <v>317.196</v>
      </c>
      <c r="P34" s="15" t="s">
        <v>30</v>
      </c>
    </row>
    <row r="35" spans="1:16" ht="12.75">
      <c r="A35" s="14" t="s">
        <v>61</v>
      </c>
      <c r="B35" s="12" t="s">
        <v>31</v>
      </c>
      <c r="C35" s="4">
        <f>C27*1000000000</f>
        <v>390</v>
      </c>
      <c r="D35" s="15" t="s">
        <v>62</v>
      </c>
      <c r="F35" s="12" t="s">
        <v>31</v>
      </c>
      <c r="G35" s="4">
        <f>G27*1000000000</f>
        <v>390</v>
      </c>
      <c r="H35" s="15" t="s">
        <v>62</v>
      </c>
      <c r="J35" s="12" t="s">
        <v>31</v>
      </c>
      <c r="K35" s="4">
        <f>K27*1000000000</f>
        <v>270</v>
      </c>
      <c r="L35" s="15" t="s">
        <v>62</v>
      </c>
      <c r="N35" s="12" t="s">
        <v>31</v>
      </c>
      <c r="O35" s="4">
        <f>O27*1000000000</f>
        <v>10</v>
      </c>
      <c r="P35" s="15" t="s">
        <v>62</v>
      </c>
    </row>
    <row r="36" spans="1:16" s="3" customFormat="1" ht="12.75">
      <c r="A36" s="23"/>
      <c r="B36" s="12" t="s">
        <v>63</v>
      </c>
      <c r="C36" s="7">
        <f>C29/C30</f>
        <v>7.449397339057142</v>
      </c>
      <c r="D36" s="15"/>
      <c r="F36" s="12" t="s">
        <v>63</v>
      </c>
      <c r="G36" s="7">
        <f>G29/G30</f>
        <v>8.343712673409785</v>
      </c>
      <c r="H36" s="15"/>
      <c r="J36" s="12" t="s">
        <v>63</v>
      </c>
      <c r="K36" s="7">
        <f>K29/K30</f>
        <v>7.4121669064134</v>
      </c>
      <c r="L36" s="15"/>
      <c r="N36" s="12" t="s">
        <v>63</v>
      </c>
      <c r="O36" s="7">
        <f>O29/O30</f>
        <v>15.76117508381386</v>
      </c>
      <c r="P36" s="15"/>
    </row>
    <row r="37" spans="2:16" ht="12.75">
      <c r="B37" s="31" t="s">
        <v>64</v>
      </c>
      <c r="C37" s="5">
        <f>2200/C30</f>
        <v>787.5532098065021</v>
      </c>
      <c r="D37" s="32" t="s">
        <v>65</v>
      </c>
      <c r="F37" s="31" t="s">
        <v>64</v>
      </c>
      <c r="G37" s="5">
        <f>2200/G30</f>
        <v>970.3591548397893</v>
      </c>
      <c r="H37" s="32" t="s">
        <v>65</v>
      </c>
      <c r="J37" s="31" t="s">
        <v>64</v>
      </c>
      <c r="K37" s="5">
        <f>2200/K30</f>
        <v>444.00767163533607</v>
      </c>
      <c r="L37" s="32" t="s">
        <v>65</v>
      </c>
      <c r="N37" s="31" t="s">
        <v>64</v>
      </c>
      <c r="O37" s="5">
        <f>2200/O30</f>
        <v>388.020788290303</v>
      </c>
      <c r="P37" s="32" t="s">
        <v>65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8">
      <c r="A65" s="36" t="s">
        <v>69</v>
      </c>
    </row>
    <row r="66" ht="18">
      <c r="A66" s="36" t="s">
        <v>71</v>
      </c>
    </row>
    <row r="67" ht="18">
      <c r="A67" s="36" t="s">
        <v>72</v>
      </c>
    </row>
    <row r="68" ht="18">
      <c r="A68" s="36" t="s">
        <v>68</v>
      </c>
    </row>
    <row r="69" ht="12.75"/>
    <row r="70" ht="12.75"/>
    <row r="71" ht="12.75"/>
    <row r="72" ht="18">
      <c r="A72" s="36" t="s">
        <v>70</v>
      </c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&amp;L&amp;D  &amp;T&amp;CPHOENIX 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2009-12-16T22:24:39Z</cp:lastPrinted>
  <dcterms:created xsi:type="dcterms:W3CDTF">2009-12-16T22:27:50Z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