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06" windowWidth="11370" windowHeight="6540" activeTab="0"/>
  </bookViews>
  <sheets>
    <sheet name="spl_max1" sheetId="1" r:id="rId1"/>
  </sheets>
  <definedNames/>
  <calcPr fullCalcOnLoad="1"/>
</workbook>
</file>

<file path=xl/sharedStrings.xml><?xml version="1.0" encoding="utf-8"?>
<sst xmlns="http://schemas.openxmlformats.org/spreadsheetml/2006/main" count="62" uniqueCount="46">
  <si>
    <t>A)  Excursion limited rms sound pressure level (SPL) for a driver in a closed box (monopole)</t>
  </si>
  <si>
    <t>and in an open baffle (dipole) at 1 m distance on-axis, in free-space</t>
  </si>
  <si>
    <t>Enter bold faced values for the driver under investigation, path difference and start frequency:</t>
  </si>
  <si>
    <t>Add 6 dB to SPL for radiation into half-space.</t>
  </si>
  <si>
    <t>1252DVC</t>
  </si>
  <si>
    <t>21W/8554</t>
  </si>
  <si>
    <t>Driver A</t>
  </si>
  <si>
    <t>Driver B</t>
  </si>
  <si>
    <t>Effective piston area Sd =</t>
  </si>
  <si>
    <t>cm^2</t>
  </si>
  <si>
    <t>Peak excursion Xmax =</t>
  </si>
  <si>
    <t>mm</t>
  </si>
  <si>
    <t>Effective path difference D =</t>
  </si>
  <si>
    <t>Effective piston diameter d =</t>
  </si>
  <si>
    <t>Volume displacement Vp =</t>
  </si>
  <si>
    <t>cm^3</t>
  </si>
  <si>
    <t>SPL dipole=monopole at Fequal =</t>
  </si>
  <si>
    <t>Hz</t>
  </si>
  <si>
    <t>SPL (at Fequal) =</t>
  </si>
  <si>
    <t>dB</t>
  </si>
  <si>
    <t>Monopole SPL at 100 Hz =</t>
  </si>
  <si>
    <t>Dipole SPL at 100 Hz =</t>
  </si>
  <si>
    <t>Frequency</t>
  </si>
  <si>
    <t>mono A</t>
  </si>
  <si>
    <t>dipole A</t>
  </si>
  <si>
    <t>mono B</t>
  </si>
  <si>
    <t>dipole B</t>
  </si>
  <si>
    <t>dB SPL</t>
  </si>
  <si>
    <t xml:space="preserve"> </t>
  </si>
  <si>
    <t>B)  Required volume displacement to obtain a specified SPL at 1m in free-space</t>
  </si>
  <si>
    <t>(Note that 109 dB SPL requires 1 Watt acoustic radiation)</t>
  </si>
  <si>
    <t xml:space="preserve">Enter bold faced values for SPL, dipole path difference and start frequency. </t>
  </si>
  <si>
    <t>SPL =</t>
  </si>
  <si>
    <t>Fequal =</t>
  </si>
  <si>
    <t>Vp = Sd Xmax</t>
  </si>
  <si>
    <t>monopole</t>
  </si>
  <si>
    <t>dipole</t>
  </si>
  <si>
    <t>Formulas used for monopole:</t>
  </si>
  <si>
    <t>Units are dB, m, Hz</t>
  </si>
  <si>
    <t xml:space="preserve">SPL = 102.4 + 20 log(Vp) + 40 log(f) - 20 log(r) </t>
  </si>
  <si>
    <t>Formulas used for dipole:</t>
  </si>
  <si>
    <t>Vdipole = Vp (Fequal / f)  if f &lt; 3 Fequal, else Vdipole = Vp / 2</t>
  </si>
  <si>
    <t xml:space="preserve">SPL = 100.3 + 20 log(Xmax) + 40 log(f) + 40 log(d) - 20 log(r) </t>
  </si>
  <si>
    <t>SPLdipole = SPL - 20 log(Fequal / f)  if f &lt; 3 Fequal, else SPLdipole = SPL + 6</t>
  </si>
  <si>
    <t>LINKWITZ LAB - 19 February 2001</t>
  </si>
  <si>
    <t>Divide calculated Vp by two for radiation into half-space.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</si>
</sst>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E+00"/>
  </numFmts>
  <fonts count="7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9"/>
      <name val="Arial"/>
      <family val="0"/>
    </font>
    <font>
      <b/>
      <sz val="11"/>
      <name val="Arial"/>
      <family val="0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1" fontId="0" fillId="0" borderId="2" xfId="0" applyNumberFormat="1" applyBorder="1" applyAlignment="1">
      <alignment/>
    </xf>
    <xf numFmtId="1" fontId="0" fillId="2" borderId="0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2" xfId="0" applyBorder="1" applyAlignment="1">
      <alignment/>
    </xf>
    <xf numFmtId="1" fontId="0" fillId="2" borderId="2" xfId="0" applyNumberForma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2" xfId="0" applyBorder="1" applyAlignment="1">
      <alignment horizontal="centerContinuous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.0225"/>
          <c:w val="0.8085"/>
          <c:h val="0.7815"/>
        </c:manualLayout>
      </c:layout>
      <c:lineChart>
        <c:grouping val="standard"/>
        <c:varyColors val="0"/>
        <c:ser>
          <c:idx val="0"/>
          <c:order val="0"/>
          <c:tx>
            <c:v>monopole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spl_max1!$B$26:$B$34</c:f>
              <c:numCache/>
            </c:numRef>
          </c:cat>
          <c:val>
            <c:numRef>
              <c:f>spl_max1!$C$26:$C$34</c:f>
              <c:numCache/>
            </c:numRef>
          </c:val>
          <c:smooth val="0"/>
        </c:ser>
        <c:ser>
          <c:idx val="1"/>
          <c:order val="1"/>
          <c:tx>
            <c:v>dipole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spl_max1!$B$26:$B$34</c:f>
              <c:numCache/>
            </c:numRef>
          </c:cat>
          <c:val>
            <c:numRef>
              <c:f>spl_max1!$D$26:$D$34</c:f>
              <c:numCache/>
            </c:numRef>
          </c:val>
          <c:smooth val="0"/>
        </c:ser>
        <c:ser>
          <c:idx val="2"/>
          <c:order val="2"/>
          <c:tx>
            <c:v>monopole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spl_max1!$B$26:$B$34</c:f>
              <c:numCache/>
            </c:numRef>
          </c:cat>
          <c:val>
            <c:numRef>
              <c:f>spl_max1!$E$26:$E$34</c:f>
              <c:numCache/>
            </c:numRef>
          </c:val>
          <c:smooth val="0"/>
        </c:ser>
        <c:ser>
          <c:idx val="3"/>
          <c:order val="3"/>
          <c:tx>
            <c:v>dipole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spl_max1!$B$26:$B$34</c:f>
              <c:numCache/>
            </c:numRef>
          </c:cat>
          <c:val>
            <c:numRef>
              <c:f>spl_max1!$F$26:$F$34</c:f>
              <c:numCache/>
            </c:numRef>
          </c:val>
          <c:smooth val="0"/>
        </c:ser>
        <c:marker val="1"/>
        <c:axId val="29168824"/>
        <c:axId val="61192825"/>
      </c:lineChart>
      <c:catAx>
        <c:axId val="29168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192825"/>
        <c:crosses val="autoZero"/>
        <c:auto val="0"/>
        <c:lblOffset val="100"/>
        <c:noMultiLvlLbl val="0"/>
      </c:catAx>
      <c:valAx>
        <c:axId val="61192825"/>
        <c:scaling>
          <c:orientation val="minMax"/>
          <c:max val="12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168824"/>
        <c:crosses val="max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325"/>
          <c:y val="0.02975"/>
          <c:w val="0.8575"/>
          <c:h val="0.85425"/>
        </c:manualLayout>
      </c:layout>
      <c:lineChart>
        <c:grouping val="standard"/>
        <c:varyColors val="0"/>
        <c:ser>
          <c:idx val="0"/>
          <c:order val="0"/>
          <c:tx>
            <c:v>monopole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spl_max1!$C$50:$C$65</c:f>
              <c:numCache/>
            </c:numRef>
          </c:cat>
          <c:val>
            <c:numRef>
              <c:f>spl_max1!$D$50:$D$65</c:f>
              <c:numCache/>
            </c:numRef>
          </c:val>
          <c:smooth val="0"/>
        </c:ser>
        <c:ser>
          <c:idx val="1"/>
          <c:order val="1"/>
          <c:tx>
            <c:v>dipole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spl_max1!$C$50:$C$65</c:f>
              <c:numCache/>
            </c:numRef>
          </c:cat>
          <c:val>
            <c:numRef>
              <c:f>spl_max1!$E$50:$E$65</c:f>
              <c:numCache/>
            </c:numRef>
          </c:val>
          <c:smooth val="0"/>
        </c:ser>
        <c:marker val="1"/>
        <c:axId val="13864514"/>
        <c:axId val="57671763"/>
      </c:lineChart>
      <c:catAx>
        <c:axId val="138645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7671763"/>
        <c:crosses val="autoZero"/>
        <c:auto val="0"/>
        <c:lblOffset val="100"/>
        <c:tickLblSkip val="2"/>
        <c:noMultiLvlLbl val="0"/>
      </c:catAx>
      <c:valAx>
        <c:axId val="57671763"/>
        <c:scaling>
          <c:logBase val="10"/>
          <c:orientation val="minMax"/>
          <c:max val="1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Displaced volume - cm^3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386451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125"/>
          <c:y val="0.113"/>
        </c:manualLayout>
      </c:layout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7</xdr:row>
      <xdr:rowOff>57150</xdr:rowOff>
    </xdr:from>
    <xdr:to>
      <xdr:col>10</xdr:col>
      <xdr:colOff>533400</xdr:colOff>
      <xdr:row>34</xdr:row>
      <xdr:rowOff>0</xdr:rowOff>
    </xdr:to>
    <xdr:graphicFrame>
      <xdr:nvGraphicFramePr>
        <xdr:cNvPr id="1" name="Chart 2"/>
        <xdr:cNvGraphicFramePr/>
      </xdr:nvGraphicFramePr>
      <xdr:xfrm>
        <a:off x="3619500" y="1190625"/>
        <a:ext cx="25717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46</xdr:row>
      <xdr:rowOff>9525</xdr:rowOff>
    </xdr:from>
    <xdr:to>
      <xdr:col>10</xdr:col>
      <xdr:colOff>571500</xdr:colOff>
      <xdr:row>66</xdr:row>
      <xdr:rowOff>57150</xdr:rowOff>
    </xdr:to>
    <xdr:graphicFrame>
      <xdr:nvGraphicFramePr>
        <xdr:cNvPr id="2" name="Chart 3"/>
        <xdr:cNvGraphicFramePr/>
      </xdr:nvGraphicFramePr>
      <xdr:xfrm>
        <a:off x="2867025" y="7458075"/>
        <a:ext cx="3362325" cy="328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77"/>
  <sheetViews>
    <sheetView showGridLines="0" tabSelected="1" workbookViewId="0" topLeftCell="A32">
      <selection activeCell="B43" sqref="B43"/>
    </sheetView>
  </sheetViews>
  <sheetFormatPr defaultColWidth="9.140625" defaultRowHeight="12.75"/>
  <cols>
    <col min="1" max="1" width="2.57421875" style="0" customWidth="1"/>
    <col min="4" max="4" width="9.140625" style="1" customWidth="1"/>
  </cols>
  <sheetData>
    <row r="2" ht="12.75">
      <c r="B2" s="2" t="s">
        <v>0</v>
      </c>
    </row>
    <row r="3" ht="12.75">
      <c r="B3" s="2" t="s">
        <v>1</v>
      </c>
    </row>
    <row r="5" ht="12.75">
      <c r="B5" t="s">
        <v>2</v>
      </c>
    </row>
    <row r="6" ht="12.75">
      <c r="B6" t="s">
        <v>3</v>
      </c>
    </row>
    <row r="8" spans="5:6" ht="12.75">
      <c r="E8" s="33" t="s">
        <v>4</v>
      </c>
      <c r="F8" s="34" t="s">
        <v>5</v>
      </c>
    </row>
    <row r="9" spans="5:6" ht="12.75">
      <c r="E9" s="12" t="s">
        <v>6</v>
      </c>
      <c r="F9" s="13" t="s">
        <v>7</v>
      </c>
    </row>
    <row r="10" spans="4:7" ht="12.75">
      <c r="D10" s="1" t="s">
        <v>8</v>
      </c>
      <c r="E10" s="25">
        <v>530</v>
      </c>
      <c r="F10" s="26">
        <v>200</v>
      </c>
      <c r="G10" t="s">
        <v>9</v>
      </c>
    </row>
    <row r="11" spans="4:7" ht="12.75">
      <c r="D11" s="1" t="s">
        <v>10</v>
      </c>
      <c r="E11" s="14">
        <v>6</v>
      </c>
      <c r="F11" s="27">
        <v>6.5</v>
      </c>
      <c r="G11" t="s">
        <v>11</v>
      </c>
    </row>
    <row r="12" spans="4:7" ht="12.75">
      <c r="D12" s="1" t="s">
        <v>12</v>
      </c>
      <c r="E12" s="28">
        <v>483</v>
      </c>
      <c r="F12" s="29">
        <v>248</v>
      </c>
      <c r="G12" t="s">
        <v>11</v>
      </c>
    </row>
    <row r="13" spans="5:6" ht="12.75">
      <c r="E13" s="5"/>
      <c r="F13" s="15"/>
    </row>
    <row r="14" spans="4:7" ht="12.75">
      <c r="D14" s="1" t="s">
        <v>13</v>
      </c>
      <c r="E14" s="18">
        <f>SQRT(400*E10/PI())</f>
        <v>259.77239243415306</v>
      </c>
      <c r="F14" s="19">
        <f>SQRT(400*F10/PI())</f>
        <v>159.57691216057307</v>
      </c>
      <c r="G14" t="s">
        <v>11</v>
      </c>
    </row>
    <row r="15" spans="4:7" ht="12.75">
      <c r="D15" s="1" t="s">
        <v>14</v>
      </c>
      <c r="E15" s="6">
        <f>E10*E11/10</f>
        <v>318</v>
      </c>
      <c r="F15" s="17">
        <f>F10*F11/10</f>
        <v>130</v>
      </c>
      <c r="G15" t="s">
        <v>15</v>
      </c>
    </row>
    <row r="16" spans="5:6" ht="12.75">
      <c r="E16" s="6"/>
      <c r="F16" s="17"/>
    </row>
    <row r="17" spans="4:7" ht="12.75">
      <c r="D17" s="1" t="s">
        <v>16</v>
      </c>
      <c r="E17" s="11">
        <f>170*343/E12</f>
        <v>120.72463768115942</v>
      </c>
      <c r="F17" s="16">
        <f>170*343/F12</f>
        <v>235.1209677419355</v>
      </c>
      <c r="G17" t="s">
        <v>17</v>
      </c>
    </row>
    <row r="18" spans="4:7" ht="12.75">
      <c r="D18" s="1" t="s">
        <v>18</v>
      </c>
      <c r="E18" s="11">
        <f>94.3+20*LOG(E11/500)+40*LOG(E17)+40*LOG(E14/1000)</f>
        <v>115.73918111242614</v>
      </c>
      <c r="F18" s="16">
        <f>94.3+20*LOG(F11/500)+40*LOG(F17)+40*LOG(F14/1000)</f>
        <v>119.54932375588605</v>
      </c>
      <c r="G18" t="s">
        <v>19</v>
      </c>
    </row>
    <row r="19" spans="5:6" ht="12.75">
      <c r="E19" s="6"/>
      <c r="F19" s="17"/>
    </row>
    <row r="20" spans="4:7" ht="12.75">
      <c r="D20" s="1" t="s">
        <v>20</v>
      </c>
      <c r="E20" s="11">
        <f>E18-40*LOG(E17/100)</f>
        <v>112.46734468564485</v>
      </c>
      <c r="F20" s="16">
        <f>F18-40*LOG(F17/100)</f>
        <v>104.69766933209293</v>
      </c>
      <c r="G20" t="s">
        <v>19</v>
      </c>
    </row>
    <row r="21" spans="4:7" ht="12.75">
      <c r="D21" s="1" t="s">
        <v>21</v>
      </c>
      <c r="E21" s="11">
        <f>E18-60*LOG(E17/100)</f>
        <v>110.83142647225421</v>
      </c>
      <c r="F21" s="16">
        <f>F18-60*LOG(F17/100)</f>
        <v>97.27184212019637</v>
      </c>
      <c r="G21" t="s">
        <v>19</v>
      </c>
    </row>
    <row r="24" spans="2:6" ht="12.75">
      <c r="B24" t="s">
        <v>22</v>
      </c>
      <c r="C24" s="8" t="s">
        <v>23</v>
      </c>
      <c r="D24" s="1" t="s">
        <v>24</v>
      </c>
      <c r="E24" s="8" t="s">
        <v>25</v>
      </c>
      <c r="F24" s="1" t="s">
        <v>26</v>
      </c>
    </row>
    <row r="25" spans="2:6" ht="12.75">
      <c r="B25" s="7" t="s">
        <v>17</v>
      </c>
      <c r="C25" s="9" t="s">
        <v>27</v>
      </c>
      <c r="D25" s="7" t="s">
        <v>27</v>
      </c>
      <c r="E25" s="9" t="s">
        <v>27</v>
      </c>
      <c r="F25" s="7" t="s">
        <v>27</v>
      </c>
    </row>
    <row r="26" spans="2:6" ht="12.75">
      <c r="B26" s="32">
        <v>25</v>
      </c>
      <c r="C26" s="10">
        <f aca="true" t="shared" si="0" ref="C26:C34">94.3+20*LOG($E$11/500)+40*LOG(B26)+40*LOG($E$14/1000)</f>
        <v>88.38494503252635</v>
      </c>
      <c r="D26" s="4">
        <f aca="true" t="shared" si="1" ref="D26:D34">IF(B26&lt;3*$E$17,C26-20*LOG($E$17/B26),C26+6)</f>
        <v>74.70782699257646</v>
      </c>
      <c r="E26" s="10">
        <f aca="true" t="shared" si="2" ref="E26:E34">94.3+20*LOG($F$11/500)+40*LOG(B26)+40*LOG($F$14/1000)</f>
        <v>80.61526967897443</v>
      </c>
      <c r="F26" s="4">
        <f aca="true" t="shared" si="3" ref="F26:F34">IF(B26&lt;3*$F$17,E26-20*LOG($F$17/B26),E26+6)</f>
        <v>61.14824264051862</v>
      </c>
    </row>
    <row r="27" spans="2:6" ht="12.75">
      <c r="B27" s="3">
        <f aca="true" t="shared" si="4" ref="B27:B34">B26*2^(1/2)</f>
        <v>35.35533905932738</v>
      </c>
      <c r="C27" s="10">
        <f t="shared" si="0"/>
        <v>94.40554494580596</v>
      </c>
      <c r="D27" s="4">
        <f t="shared" si="1"/>
        <v>83.73872686249588</v>
      </c>
      <c r="E27" s="10">
        <f t="shared" si="2"/>
        <v>86.63586959225405</v>
      </c>
      <c r="F27" s="4">
        <f t="shared" si="3"/>
        <v>70.17914251043806</v>
      </c>
    </row>
    <row r="28" spans="2:6" ht="12.75">
      <c r="B28" s="3">
        <f t="shared" si="4"/>
        <v>50.00000000000001</v>
      </c>
      <c r="C28" s="10">
        <f t="shared" si="0"/>
        <v>100.42614485908561</v>
      </c>
      <c r="D28" s="4">
        <f t="shared" si="1"/>
        <v>92.76962673241535</v>
      </c>
      <c r="E28" s="10">
        <f t="shared" si="2"/>
        <v>92.65646950553368</v>
      </c>
      <c r="F28" s="4">
        <f t="shared" si="3"/>
        <v>79.21004238035749</v>
      </c>
    </row>
    <row r="29" spans="2:6" ht="12.75">
      <c r="B29" s="3">
        <f t="shared" si="4"/>
        <v>70.71067811865477</v>
      </c>
      <c r="C29" s="10">
        <f t="shared" si="0"/>
        <v>106.44674477236524</v>
      </c>
      <c r="D29" s="4">
        <f t="shared" si="1"/>
        <v>101.80052660233478</v>
      </c>
      <c r="E29" s="10">
        <f t="shared" si="2"/>
        <v>98.6770694188133</v>
      </c>
      <c r="F29" s="4">
        <f t="shared" si="3"/>
        <v>88.24094225027693</v>
      </c>
    </row>
    <row r="30" spans="2:6" ht="12.75">
      <c r="B30" s="3">
        <f t="shared" si="4"/>
        <v>100.00000000000003</v>
      </c>
      <c r="C30" s="10">
        <f t="shared" si="0"/>
        <v>112.46734468564483</v>
      </c>
      <c r="D30" s="4">
        <f t="shared" si="1"/>
        <v>110.8314264722542</v>
      </c>
      <c r="E30" s="10">
        <f t="shared" si="2"/>
        <v>104.69766933209293</v>
      </c>
      <c r="F30" s="4">
        <f t="shared" si="3"/>
        <v>97.27184212019637</v>
      </c>
    </row>
    <row r="31" spans="2:6" ht="12.75">
      <c r="B31" s="3">
        <f t="shared" si="4"/>
        <v>141.42135623730957</v>
      </c>
      <c r="C31" s="10">
        <f t="shared" si="0"/>
        <v>118.48794459892446</v>
      </c>
      <c r="D31" s="4">
        <f t="shared" si="1"/>
        <v>119.86232634217363</v>
      </c>
      <c r="E31" s="10">
        <f t="shared" si="2"/>
        <v>110.71826924537255</v>
      </c>
      <c r="F31" s="4">
        <f t="shared" si="3"/>
        <v>106.3027419901158</v>
      </c>
    </row>
    <row r="32" spans="2:6" ht="12.75">
      <c r="B32" s="3">
        <f t="shared" si="4"/>
        <v>200.0000000000001</v>
      </c>
      <c r="C32" s="10">
        <f t="shared" si="0"/>
        <v>124.50854451220408</v>
      </c>
      <c r="D32" s="4">
        <f t="shared" si="1"/>
        <v>128.89322621209305</v>
      </c>
      <c r="E32" s="10">
        <f t="shared" si="2"/>
        <v>116.73886915865218</v>
      </c>
      <c r="F32" s="4">
        <f t="shared" si="3"/>
        <v>115.33364186003524</v>
      </c>
    </row>
    <row r="33" spans="2:6" ht="12.75">
      <c r="B33" s="3">
        <f t="shared" si="4"/>
        <v>282.8427124746192</v>
      </c>
      <c r="C33" s="10">
        <f t="shared" si="0"/>
        <v>130.5291444254837</v>
      </c>
      <c r="D33" s="4">
        <f t="shared" si="1"/>
        <v>137.9241260820125</v>
      </c>
      <c r="E33" s="10">
        <f t="shared" si="2"/>
        <v>122.7594690719318</v>
      </c>
      <c r="F33" s="4">
        <f t="shared" si="3"/>
        <v>124.36454172995468</v>
      </c>
    </row>
    <row r="34" spans="2:6" ht="12.75">
      <c r="B34" s="3">
        <f t="shared" si="4"/>
        <v>400.0000000000003</v>
      </c>
      <c r="C34" s="10">
        <f t="shared" si="0"/>
        <v>136.54974433876333</v>
      </c>
      <c r="D34" s="4">
        <f t="shared" si="1"/>
        <v>142.54974433876333</v>
      </c>
      <c r="E34" s="10">
        <f t="shared" si="2"/>
        <v>128.78006898521141</v>
      </c>
      <c r="F34" s="4">
        <f t="shared" si="3"/>
        <v>133.39544159987412</v>
      </c>
    </row>
    <row r="35" ht="12.75">
      <c r="D35" s="4" t="s">
        <v>28</v>
      </c>
    </row>
    <row r="38" ht="12.75">
      <c r="B38" s="20" t="s">
        <v>29</v>
      </c>
    </row>
    <row r="39" ht="12.75">
      <c r="B39" s="24" t="s">
        <v>30</v>
      </c>
    </row>
    <row r="40" ht="12.75">
      <c r="B40" s="24"/>
    </row>
    <row r="41" ht="12.75">
      <c r="B41" t="s">
        <v>31</v>
      </c>
    </row>
    <row r="42" ht="12.75">
      <c r="B42" t="s">
        <v>45</v>
      </c>
    </row>
    <row r="44" spans="4:6" ht="12.75">
      <c r="D44" s="1" t="s">
        <v>32</v>
      </c>
      <c r="E44" s="30">
        <v>90</v>
      </c>
      <c r="F44" t="s">
        <v>19</v>
      </c>
    </row>
    <row r="45" spans="4:10" ht="12.75">
      <c r="D45" s="1" t="s">
        <v>12</v>
      </c>
      <c r="E45" s="31">
        <v>483</v>
      </c>
      <c r="F45" t="s">
        <v>11</v>
      </c>
      <c r="H45" t="s">
        <v>33</v>
      </c>
      <c r="I45" s="23">
        <f>170*343/E45</f>
        <v>120.72463768115942</v>
      </c>
      <c r="J45" t="s">
        <v>17</v>
      </c>
    </row>
    <row r="47" spans="4:5" ht="12.75">
      <c r="D47" s="22" t="s">
        <v>34</v>
      </c>
      <c r="E47" s="21"/>
    </row>
    <row r="48" spans="3:5" ht="12.75">
      <c r="C48" t="s">
        <v>22</v>
      </c>
      <c r="D48" s="8" t="s">
        <v>35</v>
      </c>
      <c r="E48" s="1" t="s">
        <v>36</v>
      </c>
    </row>
    <row r="49" spans="3:5" ht="12.75">
      <c r="C49" s="7" t="s">
        <v>17</v>
      </c>
      <c r="D49" s="9" t="s">
        <v>15</v>
      </c>
      <c r="E49" s="7" t="s">
        <v>15</v>
      </c>
    </row>
    <row r="50" spans="3:5" ht="12.75">
      <c r="C50" s="32">
        <v>25</v>
      </c>
      <c r="D50" s="10">
        <f aca="true" t="shared" si="5" ref="D50:D65">(10^(($E$44-102.4-40*LOG(C50))/20))*10^6</f>
        <v>383.8132670431181</v>
      </c>
      <c r="E50" s="4">
        <f aca="true" t="shared" si="6" ref="E50:E65">IF(C50&lt;3*$I$45,D50*$I$45/C50,D50/2)</f>
        <v>1853.428704040101</v>
      </c>
    </row>
    <row r="51" spans="3:5" ht="12.75">
      <c r="C51" s="3">
        <f aca="true" t="shared" si="7" ref="C51:C65">C50*2^(1/2)</f>
        <v>35.35533905932738</v>
      </c>
      <c r="D51" s="10">
        <f t="shared" si="5"/>
        <v>191.90663352155926</v>
      </c>
      <c r="E51" s="4">
        <f t="shared" si="6"/>
        <v>655.2860025362756</v>
      </c>
    </row>
    <row r="52" spans="3:5" ht="12.75">
      <c r="C52" s="3">
        <f t="shared" si="7"/>
        <v>50.00000000000001</v>
      </c>
      <c r="D52" s="10">
        <f t="shared" si="5"/>
        <v>95.95331676077927</v>
      </c>
      <c r="E52" s="4">
        <f t="shared" si="6"/>
        <v>231.67858800501196</v>
      </c>
    </row>
    <row r="53" spans="3:5" ht="12.75">
      <c r="C53" s="3">
        <f t="shared" si="7"/>
        <v>70.71067811865477</v>
      </c>
      <c r="D53" s="10">
        <f t="shared" si="5"/>
        <v>47.97665838038962</v>
      </c>
      <c r="E53" s="4">
        <f t="shared" si="6"/>
        <v>81.91075031703411</v>
      </c>
    </row>
    <row r="54" spans="3:5" ht="12.75">
      <c r="C54" s="3">
        <f t="shared" si="7"/>
        <v>100.00000000000003</v>
      </c>
      <c r="D54" s="10">
        <f t="shared" si="5"/>
        <v>23.988329190194857</v>
      </c>
      <c r="E54" s="4">
        <f t="shared" si="6"/>
        <v>28.959823500626534</v>
      </c>
    </row>
    <row r="55" spans="3:5" ht="12.75">
      <c r="C55" s="3">
        <f t="shared" si="7"/>
        <v>141.42135623730957</v>
      </c>
      <c r="D55" s="10">
        <f t="shared" si="5"/>
        <v>11.994164595097427</v>
      </c>
      <c r="E55" s="4">
        <f t="shared" si="6"/>
        <v>10.238843789629279</v>
      </c>
    </row>
    <row r="56" spans="3:5" ht="12.75">
      <c r="C56" s="3">
        <f t="shared" si="7"/>
        <v>200.0000000000001</v>
      </c>
      <c r="D56" s="10">
        <f t="shared" si="5"/>
        <v>5.9970822975487135</v>
      </c>
      <c r="E56" s="4">
        <f t="shared" si="6"/>
        <v>3.6199779375783154</v>
      </c>
    </row>
    <row r="57" spans="3:5" ht="12.75">
      <c r="C57" s="3">
        <f t="shared" si="7"/>
        <v>282.8427124746192</v>
      </c>
      <c r="D57" s="35">
        <f t="shared" si="5"/>
        <v>2.998541148774356</v>
      </c>
      <c r="E57" s="36">
        <f t="shared" si="6"/>
        <v>1.2798554737036594</v>
      </c>
    </row>
    <row r="58" spans="3:5" ht="12.75">
      <c r="C58" s="3">
        <f t="shared" si="7"/>
        <v>400.0000000000003</v>
      </c>
      <c r="D58" s="35">
        <f t="shared" si="5"/>
        <v>1.499270574387178</v>
      </c>
      <c r="E58" s="36">
        <f t="shared" si="6"/>
        <v>0.749635287193589</v>
      </c>
    </row>
    <row r="59" spans="3:5" ht="12.75">
      <c r="C59" s="3">
        <f t="shared" si="7"/>
        <v>565.6854249492385</v>
      </c>
      <c r="D59" s="35">
        <f t="shared" si="5"/>
        <v>0.7496352871935889</v>
      </c>
      <c r="E59" s="36">
        <f t="shared" si="6"/>
        <v>0.3748176435967944</v>
      </c>
    </row>
    <row r="60" spans="3:5" ht="12.75">
      <c r="C60" s="3">
        <f t="shared" si="7"/>
        <v>800.0000000000007</v>
      </c>
      <c r="D60" s="35">
        <f t="shared" si="5"/>
        <v>0.3748176435967944</v>
      </c>
      <c r="E60" s="36">
        <f t="shared" si="6"/>
        <v>0.1874088217983972</v>
      </c>
    </row>
    <row r="61" spans="3:5" ht="12.75">
      <c r="C61" s="3">
        <f t="shared" si="7"/>
        <v>1131.370849898477</v>
      </c>
      <c r="D61" s="35">
        <f t="shared" si="5"/>
        <v>0.18740882179839718</v>
      </c>
      <c r="E61" s="36">
        <f t="shared" si="6"/>
        <v>0.09370441089919859</v>
      </c>
    </row>
    <row r="62" spans="3:5" ht="12.75">
      <c r="C62" s="3">
        <f t="shared" si="7"/>
        <v>1600.0000000000014</v>
      </c>
      <c r="D62" s="35">
        <f t="shared" si="5"/>
        <v>0.09370441089919859</v>
      </c>
      <c r="E62" s="36">
        <f t="shared" si="6"/>
        <v>0.046852205449599296</v>
      </c>
    </row>
    <row r="63" spans="3:5" ht="12.75">
      <c r="C63" s="3">
        <f t="shared" si="7"/>
        <v>2262.741699796954</v>
      </c>
      <c r="D63" s="35">
        <f t="shared" si="5"/>
        <v>0.046852205449599206</v>
      </c>
      <c r="E63" s="36">
        <f t="shared" si="6"/>
        <v>0.023426102724799603</v>
      </c>
    </row>
    <row r="64" spans="3:5" ht="12.75">
      <c r="C64" s="3">
        <f t="shared" si="7"/>
        <v>3200.0000000000027</v>
      </c>
      <c r="D64" s="35">
        <f t="shared" si="5"/>
        <v>0.023426102724799645</v>
      </c>
      <c r="E64" s="36">
        <f t="shared" si="6"/>
        <v>0.011713051362399822</v>
      </c>
    </row>
    <row r="65" spans="3:5" ht="12.75">
      <c r="C65" s="3">
        <f t="shared" si="7"/>
        <v>4525.483399593908</v>
      </c>
      <c r="D65" s="35">
        <f t="shared" si="5"/>
        <v>0.0117130513623998</v>
      </c>
      <c r="E65" s="36">
        <f t="shared" si="6"/>
        <v>0.0058565256811999</v>
      </c>
    </row>
    <row r="69" ht="12.75">
      <c r="B69" t="s">
        <v>37</v>
      </c>
    </row>
    <row r="70" spans="2:8" ht="12.75">
      <c r="B70" t="s">
        <v>42</v>
      </c>
      <c r="H70" t="s">
        <v>38</v>
      </c>
    </row>
    <row r="71" ht="12.75">
      <c r="B71" t="s">
        <v>39</v>
      </c>
    </row>
    <row r="73" ht="12.75">
      <c r="B73" t="s">
        <v>40</v>
      </c>
    </row>
    <row r="74" ht="12.75">
      <c r="B74" t="s">
        <v>43</v>
      </c>
    </row>
    <row r="75" ht="12.75">
      <c r="B75" t="s">
        <v>41</v>
      </c>
    </row>
    <row r="77" ht="12.75">
      <c r="B77" s="2" t="s">
        <v>44</v>
      </c>
    </row>
  </sheetData>
  <printOptions/>
  <pageMargins left="0.49" right="0.52" top="1" bottom="1" header="0.5" footer="0.5"/>
  <pageSetup horizontalDpi="300" verticalDpi="300" orientation="portrait"/>
  <headerFooter alignWithMargins="0">
    <oddHeader>&amp;C(c) LINKWITZ LAB</oddHeader>
    <oddFooter>&amp;L&amp;D  &amp;T&amp;C&amp;P&amp;R&amp;F</oddFooter>
  </headerFooter>
  <rowBreaks count="1" manualBreakCount="1">
    <brk id="36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